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C:\Users\Tony Sinke\Desktop\"/>
    </mc:Choice>
  </mc:AlternateContent>
  <xr:revisionPtr revIDLastSave="0" documentId="13_ncr:1_{4C342BD0-6CE0-4AB0-AF4A-3E9B999E4050}" xr6:coauthVersionLast="46" xr6:coauthVersionMax="46" xr10:uidLastSave="{00000000-0000-0000-0000-000000000000}"/>
  <workbookProtection workbookAlgorithmName="SHA-512" workbookHashValue="SZOpQBQ9fKIAEee7xYxngubEmV9/6CxQZI5htYiW5lHlMub5I01bx3lqZ1XdnCGH+eQ1ywrVFPwpYkSt0CExJw==" workbookSaltValue="itjbFDZgyP/6Sanq9+oo4Q==" workbookSpinCount="100000" lockStructure="1"/>
  <bookViews>
    <workbookView xWindow="28680" yWindow="-120" windowWidth="38640" windowHeight="21240" tabRatio="649" activeTab="1" xr2:uid="{00000000-000D-0000-FFFF-FFFF00000000}"/>
  </bookViews>
  <sheets>
    <sheet name="Stores &amp; Delivery Addresses " sheetId="24" r:id="rId1"/>
    <sheet name="Summary" sheetId="18" r:id="rId2"/>
    <sheet name="25mm Aluminium Blinds" sheetId="13" state="hidden" r:id="rId3"/>
    <sheet name="Roller Blinds" sheetId="8" state="hidden" r:id="rId4"/>
    <sheet name="Vertical Blinds" sheetId="15" state="hidden" r:id="rId5"/>
    <sheet name="50mm &amp; 63mm Venetian Blinds" sheetId="14" r:id="rId6"/>
    <sheet name="Cellular Blinds" sheetId="21" r:id="rId7"/>
    <sheet name="Panel Glide Blinds" sheetId="22" state="hidden" r:id="rId8"/>
    <sheet name="Transition Blinds &amp; Roma Shades" sheetId="23" r:id="rId9"/>
    <sheet name="Shutters" sheetId="5" state="hidden" r:id="rId10"/>
    <sheet name="Data" sheetId="2" state="hidden" r:id="rId11"/>
    <sheet name="CMB Corner WS" sheetId="19" r:id="rId12"/>
    <sheet name="CMB Bay WS" sheetId="20" r:id="rId13"/>
  </sheets>
  <definedNames>
    <definedName name="_25mm_Single_Cellular_Blind_Blockout_Standard">Data!$SH$2:$SH$16</definedName>
    <definedName name="_25mm_Single_Cellular_Blind_Translucent_Paisley">Data!$SQ$2:$SQ$6</definedName>
    <definedName name="_25mm_Single_Cellular_Blind_Translucent_Sheer">Data!$SJ$2:$SJ$11</definedName>
    <definedName name="_25mm_Single_Cellular_Blind_Translucent_Standard">Data!$SF$2:$SF$29</definedName>
    <definedName name="_25mm_Single_Cellular_Blind_Translucent_Thatched">Data!$SP$2:$SP$6</definedName>
    <definedName name="_25mm_Single_Cellular_Blind_Translucent_Woven">Data!$SL$2:$SL$6</definedName>
    <definedName name="_38mm_Double_Cellular_Blind_Blockout_Standard">Data!$ST$2:$ST$4</definedName>
    <definedName name="_38mm_Double_Cellular_Blind_Translucent_Standard">Data!$SS$2:$SS$21</definedName>
    <definedName name="_38mm_Single_Cell_Blockout_Bamboo_Print">Data!$SE$87:$SE$95</definedName>
    <definedName name="_38mm_Single_Cell_Translucent_Bamboo_Print">Data!$SI$80:$SI$88</definedName>
    <definedName name="_38mm_Single_Cell_Translucent_Crepe_Woven">Data!$SF$76:$SF$95</definedName>
    <definedName name="_38mm_Single_Cell_Translucent_Sheer_A">Data!$SG$88:$SG$91</definedName>
    <definedName name="_38mm_Single_Cell_Translucent_Slub_Woven">Data!$SJ$80:$SJ$84</definedName>
    <definedName name="_38mm_Single_Cellular_Blind_Blockout_Standard">Data!$SG$2:$SG$28</definedName>
    <definedName name="_38mm_Single_Cellular_Blind_Day_Night_Blockout_Colours">Data!$SG$147:$SG$182</definedName>
    <definedName name="_38mm_Single_Cellular_Blind_Translucent_Crush">Data!$SR$2:$SR$6</definedName>
    <definedName name="_38mm_Single_Cellular_Blind_Translucent_Linen">Data!$SM$2:$SM$7</definedName>
    <definedName name="_38mm_Single_Cellular_Blind_Translucent_Paisley">Data!$SO$2:$SO$6</definedName>
    <definedName name="_38mm_Single_Cellular_Blind_Translucent_Sheer">Data!$SI$2:$SI$11</definedName>
    <definedName name="_38mm_Single_Cellular_Blind_Translucent_Standard">Data!$SE$2:$SE$40</definedName>
    <definedName name="_38mm_Single_Cellular_Blind_Translucent_Thatched">Data!$SN$2:$SN$6</definedName>
    <definedName name="_38mm_Single_Cellular_Blind_Translucent_Woven">Data!$SK$2:$SK$11</definedName>
    <definedName name="_45mm_Cell_In_A_Cell_Cellular_Blind_Day_Night_Blockout_Colours">Data!$SF$147:$SF$156</definedName>
    <definedName name="_45mm_Single_Cell_Blockout_Lux_Linen">Data!$SK$215:$SK$220</definedName>
    <definedName name="_45mm_Single_Cell_Blockout_Marble">Data!$SF$215:$SF$219</definedName>
    <definedName name="_45mm_Single_Cell_Blockout_Sala">Data!$SE$215:$SE$219</definedName>
    <definedName name="_45mm_Single_Cell_Blockout_Standard">Data!$SE$112:$SE$118</definedName>
    <definedName name="_45mm_Single_Cell_Blockout_Woodgrain">Data!$SG$215:$SG$219</definedName>
    <definedName name="_45mm_Single_Cell_Blockout_Woodgrain_Linen">Data!$SJ$215:$SJ$219</definedName>
    <definedName name="_45mm_Single_Cell_Cell_In_A_Cell_Blockout">Data!$SN$215:$SN$222</definedName>
    <definedName name="_45mm_Single_Cell_Cell_In_A_Cell_Blockout_Bamboo">Data!$SO$215:$SO$216</definedName>
    <definedName name="_45mm_Single_Cell_Cell_In_A_Cell_Translucent_Bamboo">Data!$SM$215:$SM$216</definedName>
    <definedName name="_45mm_Single_Cell_Translucent_Cell_In_A_Cell">Data!$SL$215:$SL$222</definedName>
    <definedName name="_45mm_Single_Cell_Translucent_Crepe_Woven">Data!$SH$215:$SH$234</definedName>
    <definedName name="_45mm_Single_Cell_Translucent_Lux_Linen">Data!$SG$113:$SG$118</definedName>
    <definedName name="_45mm_Single_Cell_Translucent_Marble">Data!$SH$101:$SH$105</definedName>
    <definedName name="_45mm_Single_Cell_Translucent_Sala">Data!$SI$105:$SI$109</definedName>
    <definedName name="_45mm_Single_Cell_Translucent_Sheer">Data!$SJ$105:$SJ$108</definedName>
    <definedName name="_45mm_Single_Cell_Translucent_Standard">Data!$SF$109:$SF$118</definedName>
    <definedName name="_45mm_Single_Cell_Translucent_Woodgrain">Data!$SK$105:$SK$109</definedName>
    <definedName name="_45mm_Single_Cell_Translucent_Woodgrain_Linen">Data!$SI$215:$SI$219</definedName>
    <definedName name="_45mm_Single_Cellular_Blind_Day_Night_Blockout_Colours">Data!$SE$147:$SE$179</definedName>
    <definedName name="ACTNAM">Data!$MR$3:$MR$4</definedName>
    <definedName name="Additional_Fascia_100mm_x_9.5mm_Material">Data!$FS$2:$FS$3</definedName>
    <definedName name="Additional_Fascia_140mm_x_9.5mm_Material">Data!$FT$2:$FT$3</definedName>
    <definedName name="Additional_Fascia_60mm_x_9.5mm_Material">Data!$FU$2:$FU$3</definedName>
    <definedName name="Additional_Headboard_100mm_x_19mm_Material">Data!$FV$2:$FV$3</definedName>
    <definedName name="Additional_Headboard_140mm_x_19mm_Material">Data!$FR$2:$FR$3</definedName>
    <definedName name="Additional_Headboard_180mm_x_19mm_Material">Data!$FW$2:$FW$3</definedName>
    <definedName name="Additional_Headboard_220mm_x_19mm_Material">Data!$FX$2:$FX$3</definedName>
    <definedName name="AlumColours">Data!$AN$2:$AN$18</definedName>
    <definedName name="Amalfi">Data!$PB$2:$PB$6</definedName>
    <definedName name="AntiqueWhiteF140">Data!$HQ$3:$HQ$5</definedName>
    <definedName name="AntiqueWhiteW140">Data!$HC$3:$HC$5</definedName>
    <definedName name="B1_Colour">'Transition Blinds &amp; Roma Shades'!$CA$8:$CA$31</definedName>
    <definedName name="B10_Colour">'Transition Blinds &amp; Roma Shades'!$CB$8:$CB$18</definedName>
    <definedName name="B5_Colour">'Transition Blinds &amp; Roma Shades'!$CR$8:$CR$18</definedName>
    <definedName name="Bi_Fold_Bottom_Fixed_Pivot_Bracket_Pin">Data!$HZ$3</definedName>
    <definedName name="Bi_Fold_Frame_60mm_x_9.5mm_Material">Data!$FY$2:$FY$3</definedName>
    <definedName name="BK10_Colour">'Transition Blinds &amp; Roma Shades'!$DA$8:$DA$16</definedName>
    <definedName name="BK20_Colour">'Transition Blinds &amp; Roma Shades'!$DC$8:$DC$15</definedName>
    <definedName name="BK50_Colour">'Transition Blinds &amp; Roma Shades'!$DB$8:$DB$11</definedName>
    <definedName name="BL1_Colour">'Transition Blinds &amp; Roma Shades'!$CC$8:$CC$21</definedName>
    <definedName name="BL11_Colour">'Transition Blinds &amp; Roma Shades'!$CD$8:$CD$12</definedName>
    <definedName name="BL2_Colour">'Transition Blinds &amp; Roma Shades'!$CE$8:$CE$16</definedName>
    <definedName name="BL20_Colour">'Transition Blinds &amp; Roma Shades'!$CO$8:$CO$15</definedName>
    <definedName name="BL2PRD_Colour">'Transition Blinds &amp; Roma Shades'!$CQ$8:$CQ$14</definedName>
    <definedName name="BL30_Colour">'Transition Blinds &amp; Roma Shades'!$CP$8:$CP$14</definedName>
    <definedName name="BL46_Colour">'Transition Blinds &amp; Roma Shades'!$CS$8:$CS$12</definedName>
    <definedName name="BL48_Colour">'Transition Blinds &amp; Roma Shades'!$CT$8:$CT$13</definedName>
    <definedName name="BL50_Colour">'Transition Blinds &amp; Roma Shades'!$CV$8:$CV$13</definedName>
    <definedName name="BL52_Colour">'Transition Blinds &amp; Roma Shades'!$CU$8:$CU$18</definedName>
    <definedName name="BL58_Colour">'Transition Blinds &amp; Roma Shades'!$CW$8:$CW$15</definedName>
    <definedName name="BL9_Colour">'Transition Blinds &amp; Roma Shades'!$CF$8:$CF$16</definedName>
    <definedName name="BlackWalnutW920">Data!$HM$3:$HM$4</definedName>
    <definedName name="BlindType">Data!$MN$3:$MN$5</definedName>
    <definedName name="Bottom_Pivot_Pin_For_Bi_Fold_Sliding_Panel">Data!$IA$3</definedName>
    <definedName name="Bottom_Rail_Colour">'Transition Blinds &amp; Roma Shades'!$BH$8:$BH$14</definedName>
    <definedName name="BottomFrameBullnoseZFrame">Data!$NY$16:$NY$19</definedName>
    <definedName name="BottomFrameHangingStrip">Data!$NP$16:$NP$18</definedName>
    <definedName name="BottomFrameLargeBullnoseZFrame">Data!$OG$16:$OG$19</definedName>
    <definedName name="BottomFrameLargeFFLFrame">Data!$NV$16:$NV$18</definedName>
    <definedName name="BottomFrameLargeLFrame">Data!$NU$16:$NU$18</definedName>
    <definedName name="BottomFrameLargeZFrame">Data!$NX$16:$NX$19</definedName>
    <definedName name="BottomFrameMediumFFLFrame">Data!$NT$16:$NT$18</definedName>
    <definedName name="BottomFrameMediumLFrame">Data!$NS$16:$NS$18</definedName>
    <definedName name="BottomFrameNA">Data!$OC$16</definedName>
    <definedName name="BottomFrameNoFrame">Data!$NO$16:$NO$18</definedName>
    <definedName name="BottomFrameSliding">Data!$OA$16:$OA$19</definedName>
    <definedName name="BottomFrameSmallFFLFrame">Data!$NR$16:$NR$18</definedName>
    <definedName name="BottomFrameSmallLFrame">Data!$NQ$16:$NQ$18</definedName>
    <definedName name="BottomFrameStandardZFrame">Data!$NW$16:$NW$19</definedName>
    <definedName name="BottomFrameTrack">Data!$CJ$3:$CJ$10</definedName>
    <definedName name="BottomFrameTrackBiFold">Data!$OB$16:$OB$18</definedName>
    <definedName name="BottomFrameUChannel">Data!$NZ$16</definedName>
    <definedName name="Bracket_Type">Data!$KK$2:$KK$5</definedName>
    <definedName name="Bullnose_Z_Frame_Material">Data!$FZ$2:$FZ$3</definedName>
    <definedName name="Bumper_Stop">Data!$IB$3</definedName>
    <definedName name="ButtThru">Data!$MS$3:$MS$4</definedName>
    <definedName name="Carrier_Bracket_For_Bi_Fold_Sliding_Panel">Data!$IC$3</definedName>
    <definedName name="CAT_GROUP_35_2234">Data!$S$1:$S$2</definedName>
    <definedName name="CAT_GROUP_35_2236">Data!$S$3:$S$4</definedName>
    <definedName name="CAT_GROUP_35_2237">Data!$S$5:$S$6</definedName>
    <definedName name="CAT_GROUP_35_2238">Data!$S$7:$S$8</definedName>
    <definedName name="CAT_GROUP_35_2295">Data!$S$9:$S$10</definedName>
    <definedName name="CAT_GROUP_35_2297">Data!$S$11:$S$16</definedName>
    <definedName name="CAT_GROUP_35_2317">Data!$S$17:$S$20</definedName>
    <definedName name="CAT_GROUP_36_2277">Data!$S$21:$S$22</definedName>
    <definedName name="CAT_GROUP_36_2278">Data!$S$23:$S$24</definedName>
    <definedName name="CAT_GROUP_36_2280">Data!$S$25:$S$26</definedName>
    <definedName name="CAT_GROUP_36_2281">Data!$S$27:$S$28</definedName>
    <definedName name="CAT_GROUP_36_2294">Data!$S$29:$S$30</definedName>
    <definedName name="CAT_GROUP_36_2299">Data!$S$31:$S$36</definedName>
    <definedName name="CAT_GROUP_36_2313">Data!$S$37:$S$38</definedName>
    <definedName name="CAT_GROUP_36_2315">Data!$S$39:$S$42</definedName>
    <definedName name="CAT_GROUP_37_2290">Data!$S$43:$S$44</definedName>
    <definedName name="CAT_GROUP_37_2291">Data!$S$45:$S$46</definedName>
    <definedName name="CAT_GROUP_37_2292">Data!$S$47:$S$48</definedName>
    <definedName name="CAT_GROUP_37_2293">Data!$S$49:$S$50</definedName>
    <definedName name="CAT_GROUP_37_2296">Data!$S$51:$S$52</definedName>
    <definedName name="CAT_GROUP_37_2298">Data!$S$53:$S$58</definedName>
    <definedName name="CAT_GROUP_37_2312">Data!$S$59:$S$60</definedName>
    <definedName name="CAT_GROUP_37_2316">Data!$S$61:$S$64</definedName>
    <definedName name="CAT_GROUP_38_2300">Data!$S$65:$S$66</definedName>
    <definedName name="CAT_GROUP_38_2301">Data!$S$67:$S$68</definedName>
    <definedName name="CAT_GROUP_38_2302">Data!$S$69:$S$70</definedName>
    <definedName name="CAT_GROUP_38_2303">Data!$S$71:$S$72</definedName>
    <definedName name="CAT_GROUP_38_2304">Data!$S$73:$S$74</definedName>
    <definedName name="CAT_GROUP_38_2305">Data!$S$75:$S$80</definedName>
    <definedName name="CAT_GROUP_38_2311">Data!$S$81:$S$82</definedName>
    <definedName name="CAT_GROUP_38_2314">Data!$S$83:$S$86</definedName>
    <definedName name="CAT_STYLE_35_1000">Data!$L$1:$L$20</definedName>
    <definedName name="CAT_STYLE_36_8000">Data!$L$21:$L$26</definedName>
    <definedName name="CAT_STYLE_37_8100">Data!$L$27:$L$36</definedName>
    <definedName name="CAT_STYLE_38_8000">Data!$L$37:$L$39</definedName>
    <definedName name="CategoryList">Data!$A$1:$A$4</definedName>
    <definedName name="CategoryList_LK">Data!$A$1:$H$4</definedName>
    <definedName name="CedarImageMediumW868">Data!$HF$3:$HF$4</definedName>
    <definedName name="Cellular_Colour_2_25mm_Single_Cellular_Blind">Data!$XF$2:$XF$54</definedName>
    <definedName name="Cellular_Colour_2_38mm_Double_Cellular_Blind">Data!$XI$2:$XI$21</definedName>
    <definedName name="Cellular_Colour_2_38mm_Single_Cellular_Blind">Data!$XG$2:$XG$111</definedName>
    <definedName name="Cellular_Colour_2_45mm_Cell_In_A_Cell_Cellular_Blind">Data!$XJ$2:$XJ$11</definedName>
    <definedName name="Cellular_Colour_2_45mm_Single_Cellular_Blind">Data!$XH$2:$XH$61</definedName>
    <definedName name="Cellular_Colour_2_NA">Data!$XQ$2</definedName>
    <definedName name="CellularBlindProduct">Data!$RB$2:$RB$6</definedName>
    <definedName name="CellularControl">Data!$RW$2:$RW$8</definedName>
    <definedName name="CellularControlLength">Data!$RX$2:$RX$4</definedName>
    <definedName name="CellularMotorOptions">Data!$US$2:$US$11</definedName>
    <definedName name="CellularOperation">Data!$RU$2:$RU$15</definedName>
    <definedName name="Chain_Colour">'Transition Blinds &amp; Roma Shades'!$BO$8:$BO$9</definedName>
    <definedName name="Chain_Cord_Length">'Transition Blinds &amp; Roma Shades'!$BP$8:$BP$14</definedName>
    <definedName name="ChainMotor">'Transition Blinds &amp; Roma Shades'!$FK$8</definedName>
    <definedName name="ChannelNo">'Cellular Blinds'!$CA$8</definedName>
    <definedName name="ChannelYes">'Cellular Blinds'!$BZ$8:$BZ$11</definedName>
    <definedName name="Clutch_Day_Night">Data!$RK$2</definedName>
    <definedName name="Clutch_Day_Night_25mm_Single">Data!$VZ$2:$VZ$3</definedName>
    <definedName name="Clutch_Day_Night_38mm_Double">Data!$WV$2:$WV$3</definedName>
    <definedName name="Clutch_Day_Night_38mm_Single">Data!$WK$2:$WK$3</definedName>
    <definedName name="Clutch_Day_Night_45mm_Single">Data!$WK$48:$WK$49</definedName>
    <definedName name="Clutch_Day_Night_45mm_Single_Cell_In_A_Cell">Data!$WK$84:$WK$85</definedName>
    <definedName name="Clutch_Day_Night_Control">Data!$ZC$2:$ZC$3</definedName>
    <definedName name="Clutch_Standard">Data!$RJ$2:$RJ$9</definedName>
    <definedName name="Clutch_Standard_25mm_Single">Data!$VY$2:$VY$7</definedName>
    <definedName name="Clutch_Standard_38mm_Double">Data!$WU$2:$WU$3</definedName>
    <definedName name="Clutch_Standard_38mm_Single">Data!$WJ$2:$WJ$14</definedName>
    <definedName name="Clutch_Standard_45mm_Single">Data!$WJ$48:$WJ$61</definedName>
    <definedName name="Clutch_Standard_45mm_Single_Cell_In_A_Cell">Data!$WJ$84:$WJ$87</definedName>
    <definedName name="Clutch_Standard_Control">Data!$ZB$2:$ZB$3</definedName>
    <definedName name="Clutch_Top_Down__Bottom_Up">Data!$RL$2:$RL$9</definedName>
    <definedName name="Clutch_Top_Down_Bottom_Up_25mm_Single">Data!$WA$2:$WA$7</definedName>
    <definedName name="Clutch_Top_Down_Bottom_Up_38mm_Double">Data!$WW$2:$WW$3</definedName>
    <definedName name="Clutch_Top_Down_Bottom_Up_38mm_Single">Data!$WL$2:$WL$14</definedName>
    <definedName name="Clutch_Top_Down_Bottom_Up_45mm_Single">Data!$WL$48:$WL$61</definedName>
    <definedName name="Clutch_Top_Down_Bottom_Up_45mm_Single_Cell_In_A_Cell">Data!$WL$84:$WL$87</definedName>
    <definedName name="Clutch_Top_Down_Bottom_Up_Control">Data!$ZD$2:$ZD$3</definedName>
    <definedName name="CMBEmail">Data!$BA$25:$BA$27</definedName>
    <definedName name="CMBPhone">Data!$BB$25:$BB$27</definedName>
    <definedName name="CMBPhone2">Data!$BC$25:$BC$27</definedName>
    <definedName name="CoffeeW890">Data!$HH$3:$HH$4</definedName>
    <definedName name="Colour2_25mm_Single_Cellular_Blind_Translucent_Paisley">Data!$UM$2:$UM$6</definedName>
    <definedName name="Colour2_25mm_Single_Cellular_Blind_Translucent_Sheer">Data!$UF$2:$UF$11</definedName>
    <definedName name="Colour2_25mm_Single_Cellular_Blind_Translucent_Standard">Data!$UD$2:$UD$29</definedName>
    <definedName name="Colour2_25mm_Single_Cellular_Blind_Translucent_Thatched">Data!$UL$2:$UL$6</definedName>
    <definedName name="Colour2_25mm_Single_Cellular_Blind_Translucent_Woven">Data!$UH$2:$UH$6</definedName>
    <definedName name="Colour2_38mm_Double_Cellular_Blind_Translucent_Standard">Data!$UO$2:$UO$21</definedName>
    <definedName name="Colour2_38mm_Single_Cellular_Blind_Translucent_Crush">Data!$UN$2:$UN$6</definedName>
    <definedName name="Colour2_38mm_Single_Cellular_Blind_Translucent_Linen">Data!$UI$2:$UI$7</definedName>
    <definedName name="Colour2_38mm_Single_Cellular_Blind_Translucent_Paisley">Data!$UK$2:$UK$6</definedName>
    <definedName name="Colour2_38mm_Single_Cellular_Blind_Translucent_Sheer">Data!$UE$2:$UE$11</definedName>
    <definedName name="Colour2_38mm_Single_Cellular_Blind_Translucent_Standard">Data!$UC$2:$UC$40</definedName>
    <definedName name="Colour2_38mm_Single_Cellular_Blind_Translucent_Thatched">Data!$UJ$2:$UJ$6</definedName>
    <definedName name="Colour2_38mm_Single_Cellular_Blind_Translucent_Woven">Data!$UG$2:$UG$11</definedName>
    <definedName name="ColourNA">'Transition Blinds &amp; Roma Shades'!$ES$6</definedName>
    <definedName name="Como_Blockout">Data!$PD$2:$PD$7</definedName>
    <definedName name="Como_Translucent">Data!$PC$2:$PC$7</definedName>
    <definedName name="Control">'Transition Blinds &amp; Roma Shades'!$FN$8:$FN$11</definedName>
    <definedName name="Control_Clutch_Day_Night">Data!$VB$2</definedName>
    <definedName name="Control_Clutch_Standard">Data!$VA$2</definedName>
    <definedName name="Control_Clutch_Top_Down__Bottom_Up">Data!$VC$2</definedName>
    <definedName name="Control_Corded_Day_Night">Data!$UV$2</definedName>
    <definedName name="Control_Corded_Standard">Data!$UU$2</definedName>
    <definedName name="Control_Corded_Top_Down__Bottom_Up">Data!$UW$2</definedName>
    <definedName name="Control_Cordless_Day_Night">Data!$UY$2</definedName>
    <definedName name="Control_Cordless_Standard">Data!$UX$2</definedName>
    <definedName name="Control_Cordless_Top_Down__Bottom_Up">Data!$UZ$2</definedName>
    <definedName name="Control_Motorised">Data!$VD$2:$VD$13</definedName>
    <definedName name="Control_Motorised_DNTDBU">Data!$VD$23:$VD$26</definedName>
    <definedName name="Control_Motorised_Hardwired">Data!$VE$2:$VE$3</definedName>
    <definedName name="Control_Motorised_With_USB">Data!$VD$36:$VD$49</definedName>
    <definedName name="Control_Skylight_Cordless">Data!$UU$14</definedName>
    <definedName name="Control_Skylight_Motorised_Remote">Data!$UV$14:$UV$15</definedName>
    <definedName name="ControlOption">Data!$PU$2:$PU$7</definedName>
    <definedName name="Cord_Colour">'Transition Blinds &amp; Roma Shades'!$BR$8:$BR$15</definedName>
    <definedName name="Corded_Day_Night">Data!$RE$2</definedName>
    <definedName name="Corded_Day_Night_25mm_Single">Data!$VT$2:$VT$3</definedName>
    <definedName name="Corded_Day_Night_38mm_Double">Data!$WP$2:$WP$3</definedName>
    <definedName name="Corded_Day_Night_38mm_Single">Data!$WE$2:$WE$3</definedName>
    <definedName name="Corded_Day_Night_45mm_Single">Data!$WE$48:$WE$49</definedName>
    <definedName name="Corded_Day_Night_45mm_Single_Cell_In_A_Cell">Data!$WE$84:$WE$85</definedName>
    <definedName name="Corded_Day_Night_Control">Data!$YW$2:$YW$5</definedName>
    <definedName name="Corded_Standard">Data!$RD$2:$RD$9</definedName>
    <definedName name="Corded_Standard_25mm_Single">Data!$VS$2:$VS$7</definedName>
    <definedName name="Corded_Standard_38mm_Double">Data!$WO$2:$WO$3</definedName>
    <definedName name="Corded_Standard_38mm_Single">Data!$WD$2:$WD$14</definedName>
    <definedName name="Corded_Standard_45mm_Single">Data!$WD$48:$WD$61</definedName>
    <definedName name="Corded_Standard_45mm_Single_Cell_In_A_Cell">Data!$WD$84:$WD$87</definedName>
    <definedName name="Corded_Standard_Control">Data!$YV$2:$YV$3</definedName>
    <definedName name="Corded_Top_Down__Bottom_Up">Data!$RF$2:$RF$9</definedName>
    <definedName name="Corded_Top_Down_Bottom_Up_25mm_Single">Data!$VU$2:$VU$7</definedName>
    <definedName name="Corded_Top_Down_Bottom_Up_38mm_Double">Data!$WQ$2:$WQ$3</definedName>
    <definedName name="Corded_Top_Down_Bottom_Up_38mm_Single">Data!$WF$2:$WF$14</definedName>
    <definedName name="Corded_Top_Down_Bottom_Up_45mm_Single">Data!$WF$48:$WF$61</definedName>
    <definedName name="Corded_Top_Down_Bottom_Up_45mm_Single_Cell_In_A_Cell">Data!$WF$84:$WF$87</definedName>
    <definedName name="Corded_Top_Down_Bottom_Up_Control">Data!$YX$2:$YX$5</definedName>
    <definedName name="Cordless_Day_Night">Data!$RH$2</definedName>
    <definedName name="Cordless_Day_Night_25mm_Single">Data!$VW$2:$VW$3</definedName>
    <definedName name="Cordless_Day_Night_38mm_Double">Data!$WS$2:$WS$3</definedName>
    <definedName name="Cordless_Day_Night_38mm_Single">Data!$WH$2:$WH$3</definedName>
    <definedName name="Cordless_Day_Night_45mm_Single">Data!$WH$48:$WH$49</definedName>
    <definedName name="Cordless_Day_Night_45mm_Single_Cell_In_A_Cell">Data!$WH$84:$WH$85</definedName>
    <definedName name="Cordless_Day_Night_Control">Data!$YZ$2</definedName>
    <definedName name="Cordless_Standard">Data!$RG$2:$RG$9</definedName>
    <definedName name="Cordless_Standard_25mm_Single">Data!$VV$2:$VV$7</definedName>
    <definedName name="Cordless_Standard_38mm_Double">Data!$WR$2:$WR$3</definedName>
    <definedName name="Cordless_Standard_38mm_Single">Data!$WG$2:$WG$14</definedName>
    <definedName name="Cordless_Standard_45mm_Single">Data!$WG$48:$WG$61</definedName>
    <definedName name="Cordless_Standard_45mm_Single_Cell_In_A_Cell">Data!$WG$84:$WG$87</definedName>
    <definedName name="Cordless_Standard_Control">Data!$YY$2</definedName>
    <definedName name="Cordless_Top_Down__Bottom_Up">Data!$RI$2:$RI$9</definedName>
    <definedName name="Cordless_Top_Down_Bottom_Up_25mm_Single">Data!$VX$2:$VX$7</definedName>
    <definedName name="Cordless_Top_Down_Bottom_Up_38mm_Double">Data!$WT$2:$WT$3</definedName>
    <definedName name="Cordless_Top_Down_Bottom_Up_38mm_Single">Data!$WI$2:$WI$14</definedName>
    <definedName name="Cordless_Top_Down_Bottom_Up_45mm_Single">Data!$WI$48:$WI$61</definedName>
    <definedName name="Cordless_Top_Down_Bottom_Up_45mm_Single_Cell_In_A_Cell">Data!$WI$84:$WI$87</definedName>
    <definedName name="Cordless_Top_Down_Bottom_Up_Control">Data!$ZA$2</definedName>
    <definedName name="Cordless_Wand_Operated">Data!$VF$2</definedName>
    <definedName name="Cordless_Wand_Operated_Control">Data!$ZG$2:$ZG$3</definedName>
    <definedName name="CordlockNoCordless">'50mm &amp; 63mm Venetian Blinds'!$AR$8:$AR$9</definedName>
    <definedName name="CordlockYesCordless">'50mm &amp; 63mm Venetian Blinds'!$AS$8:$AS$10</definedName>
    <definedName name="Cover_Strip_To_Fit_Face_Fit_Frame_12.5mm_x_5mm">Data!$GY$2:$GY$3</definedName>
    <definedName name="Cover_Strip_To_Fit_Face_Fit_Frame_17mm_x_5mm">Data!$GZ$2</definedName>
    <definedName name="DarkCherryW894">Data!$HK$3:$HK$4</definedName>
    <definedName name="DarkChestnutPT067">Data!$HG$3:$HG$4</definedName>
    <definedName name="Delivery_Address">'Stores &amp; Delivery Addresses '!$D$3:$D$302</definedName>
    <definedName name="Divider_Rail_Mid_Rail_Centre_Rail_79.5mm_x_21mm">Data!$GX$2:$GX$3</definedName>
    <definedName name="Divider_RailMid_Rail_Centre_Rail_79.5mm_x_21mm_Reinforced_Profile">Data!$GX$13</definedName>
    <definedName name="Double_Hinged_BFT">Data!$DS$4:$DS$7</definedName>
    <definedName name="Double_Hinged_Frame_Type">Data!$FK$2:$FK$13</definedName>
    <definedName name="Double_Hinged_TF">Data!$DZ$4:$DZ$7</definedName>
    <definedName name="Double38mmTube">Data!$KN$2:$KN$3</definedName>
    <definedName name="Double45mmTube">Data!$KO$2</definedName>
    <definedName name="DoubleHingedLayoutCodes">Data!$LY$2:$LY$29</definedName>
    <definedName name="DoubleLink38mmTube">Data!$KQ$2:$KQ$5</definedName>
    <definedName name="DoubleLink45mmTube">Data!$KR$2:$KR$3</definedName>
    <definedName name="DS1_Colour">'Transition Blinds &amp; Roma Shades'!$CG$8:$CG$15</definedName>
    <definedName name="DS6_Colour">'Transition Blinds &amp; Roma Shades'!$CH$8:$CH$13</definedName>
    <definedName name="E1_Colour">'Transition Blinds &amp; Roma Shades'!$CI$8:$CI$18</definedName>
    <definedName name="EggshellW405">Data!$HB$3:$HB$5</definedName>
    <definedName name="Extras">Data!$FF$57:$FF$93</definedName>
    <definedName name="Fabric_127mm">Data!$CH$3:$CH$4</definedName>
    <definedName name="Fabric_89mm">Data!$CG$3:$CG$4</definedName>
    <definedName name="Fabric_Insert_NA">'Transition Blinds &amp; Roma Shades'!$DG$8</definedName>
    <definedName name="Fabric_Insert_Option">'Transition Blinds &amp; Roma Shades'!$DF$8:$DF$9</definedName>
    <definedName name="Fabric127mm">Data!$DK$3:$DK$22</definedName>
    <definedName name="Fabric89mm">Data!$DJ$3:$DJ$22</definedName>
    <definedName name="FabricSlatWidth">Data!$DG$3:$DG$5</definedName>
    <definedName name="FACE">Data!$CD$3</definedName>
    <definedName name="FaceRecess">Data!$MQ$3:$MQ$4</definedName>
    <definedName name="Fauxwood_Blade">Data!$EX$3:$EX$5</definedName>
    <definedName name="Fauxwood_Blockout_Blade">Data!$EY$3</definedName>
    <definedName name="Fauxwood_Eco">Data!$BE$3:$BE$6</definedName>
    <definedName name="Fauxwood_Eco_Air">Data!$BF$3:$BF$6</definedName>
    <definedName name="Fauxwood_Eco_Elite">Data!$BG$3:$BG$6</definedName>
    <definedName name="Fauxwood_Night">Data!$BH$3:$BH$5</definedName>
    <definedName name="FauxwoodAI">Data!$DD$3:$DD$4</definedName>
    <definedName name="FauxwoodAINo">Data!$DE$3</definedName>
    <definedName name="FauxwoodBlockoutN">Data!$BU$3</definedName>
    <definedName name="FauxwoodBlockoutT">Data!$CO$3:$CO$5</definedName>
    <definedName name="FauxwoodExtraOptionsStd">Data!$KD$3:$KD$6</definedName>
    <definedName name="FauxwoodExtrasOptions">Data!$IY$3:$IY$5</definedName>
    <definedName name="FauxwoodLiteTiltrod">Data!$CZ$3</definedName>
    <definedName name="FauxwoodRP">Data!$CX$3:$CX$6</definedName>
    <definedName name="FauxwoodRPNo">Data!$CY$3:$CY$5</definedName>
    <definedName name="FauxwoodT">Data!$CN$3:$CN$6</definedName>
    <definedName name="FauxwoodY">Data!$BT$3:$BT$4</definedName>
    <definedName name="FBOAntiqueWhiteF140">Data!$HU$3</definedName>
    <definedName name="FBOOffWhiteF286">Data!$HT$3</definedName>
    <definedName name="FBOWhiteF186">Data!$HS$3</definedName>
    <definedName name="FittingBoth">'Cellular Blinds'!$AY$8:$AY$9</definedName>
    <definedName name="FittingRecess">'Cellular Blinds'!$AZ$8</definedName>
    <definedName name="Fixed_BFT">Data!$DV$4</definedName>
    <definedName name="Fixed_Frame_Type">Data!$FN$2</definedName>
    <definedName name="Fixed_TF">Data!$EC$4</definedName>
    <definedName name="FixedLayoutCodes">Data!$MB$2</definedName>
    <definedName name="Flat_Hinge">Data!$ID$3:$ID$6</definedName>
    <definedName name="Floor_Guide">Data!$IE$3</definedName>
    <definedName name="Florence">Data!$PE$2:$PE$6</definedName>
    <definedName name="Fluffy_Strip_Fauxwood_Eco">Data!$ER$3:$ER$4</definedName>
    <definedName name="Fluffy_Strip_Fauxwood_Lite">Data!$ET$3</definedName>
    <definedName name="Fluffy_Strip_Fauxwood_Night">Data!$EQ$3</definedName>
    <definedName name="Fluffy_Strip_Timber_Eco">Data!$ES$3</definedName>
    <definedName name="FR_S6_Colour">'Transition Blinds &amp; Roma Shades'!$CJ$8:$CJ$13</definedName>
    <definedName name="FrameType">Data!$BK$3:$BK$18</definedName>
    <definedName name="GRS1_Colour">'Transition Blinds &amp; Roma Shades'!$DD$8:$DD$10</definedName>
    <definedName name="Hanging_Strip_35mm_x_28.6mm_Material">Data!$GA$2:$GA$3</definedName>
    <definedName name="Hardware">Data!$HX$54:$HX$78</definedName>
    <definedName name="Head_Box_Colour">'Transition Blinds &amp; Roma Shades'!$BG$8:$BG$15</definedName>
    <definedName name="HelperSpringControlNo">Data!$PV$2</definedName>
    <definedName name="HelperSpringControlYes">Data!$PW$2:$PW$3</definedName>
    <definedName name="Herman_Joints">Data!$IF$3:$IF$4</definedName>
    <definedName name="Hidden_Tiltrod_114mm">Data!$IG$3:$IG$4</definedName>
    <definedName name="Hidden_Tiltrod_63mm">Data!$IH$3:$IH$4</definedName>
    <definedName name="Hidden_Tiltrod_89mm">Data!$II$3:$II$4</definedName>
    <definedName name="Hinge">Data!$BM$3:$BM$12</definedName>
    <definedName name="Hinge_Packer">Data!$IJ$3</definedName>
    <definedName name="Hinge_Pin">Data!$IK$3</definedName>
    <definedName name="Hinged_BFT">Data!$DR$4:$DR$7</definedName>
    <definedName name="Hinged_Frame_Type">Data!$FJ$2:$FJ$13</definedName>
    <definedName name="Hinged_TF">Data!$DY$4:$DY$7</definedName>
    <definedName name="HingedLayoutCodes">Data!$LX$2:$LX$92</definedName>
    <definedName name="HingeNA">Data!$BN$3</definedName>
    <definedName name="HoldDown">Data!$CQ$3:$CQ$4</definedName>
    <definedName name="Illusion_Alabaster_V484">Data!$DI$4:$DI$27</definedName>
    <definedName name="Jacquard_Crush_Jacquard_Weave_Bottom_Rail_Colour">'Transition Blinds &amp; Roma Shades'!$FE$8:$FE$9</definedName>
    <definedName name="JasperW498">Data!$HD$3:$HD$4</definedName>
    <definedName name="L_Drop_Hinge">Data!$IL$3:$IL$11</definedName>
    <definedName name="Large_Bullnose_Z_Frame_Material">Data!$FZ$14</definedName>
    <definedName name="Large_Face_Fit_L_Frame_Material">Data!$GB$2:$GB$3</definedName>
    <definedName name="Large_Tube">Data!$KT$2</definedName>
    <definedName name="Large_Z_Frame_Material">Data!$GC$2:$GC$3</definedName>
    <definedName name="LayoutCodes">Data!$DO$3:$DO$84</definedName>
    <definedName name="LHRHCorner">Data!$MP$3:$MP$4</definedName>
    <definedName name="Light_Stop_19mm_x_19mm_Material">Data!$GD$2</definedName>
    <definedName name="Light_Stop_19mm_x_30mm_Material">Data!$GE$2:$GE$3</definedName>
    <definedName name="Light_Stop_19mm_x_9.5mm_Material">Data!$GF$2</definedName>
    <definedName name="Light_Stop_20mm_x_5mm_Material">Data!$GG$2:$GG$3</definedName>
    <definedName name="Light_Stop_31.8mm_x_9.5mm_Material">Data!$GH$2:$GH$3</definedName>
    <definedName name="Light_Stop_40mm_x_30mm_Material">Data!$GI$2:$GI$3</definedName>
    <definedName name="Light_Stop_50mm_x_30mm_Material">Data!$GJ$2:$GJ$3</definedName>
    <definedName name="Link">Data!$KP$2:$KP$3</definedName>
    <definedName name="LiteAntiqueWhiteF140">Data!$HQ$17</definedName>
    <definedName name="LiteOffWhiteF286">Data!$HP$17</definedName>
    <definedName name="LitePureWhiteF190">Data!$HR$17</definedName>
    <definedName name="LiteWhiteF186">Data!$HO$17</definedName>
    <definedName name="London">Data!$Y$3:$Y$9</definedName>
    <definedName name="LRF100mm">Data!$JT$3:$JT$5</definedName>
    <definedName name="LRF140mm">Data!$JU$3:$JU$5</definedName>
    <definedName name="LRF180mm">Data!$JV$3:$JV$5</definedName>
    <definedName name="LRF220mm">Data!$JW$3:$JW$5</definedName>
    <definedName name="LRFBullnoseZFrame">Data!$JR$3:$JR$6</definedName>
    <definedName name="LRFHangingStrip">Data!$JI$3:$JI$5</definedName>
    <definedName name="LRFLargeBullnoseZFrame">Data!$JY$3:$JY$6</definedName>
    <definedName name="LRFLargeFFLFrame">Data!$JO$3:$JO$5</definedName>
    <definedName name="LRFLargeLFrame">Data!$JN$3:$JN$5</definedName>
    <definedName name="LRFLargeZFrame">Data!$JQ$3:$JQ$6</definedName>
    <definedName name="LRFMediumFFLFrame">Data!$JM$3:$JM$5</definedName>
    <definedName name="LRFMediumLFrame">Data!$JL$3:$JL$5</definedName>
    <definedName name="LRFNA">Data!$JX$3</definedName>
    <definedName name="LRFNoFrame">Data!$JH$3:$JH$5</definedName>
    <definedName name="LRFSmallFFLFrame">Data!$JK$3:$JK$5</definedName>
    <definedName name="LRFSmallLFrame">Data!$JJ$3:$JJ$5</definedName>
    <definedName name="LRFStandardZFrame">Data!$JP$3:$JP$6</definedName>
    <definedName name="LRFUChannel">Data!$JS$3:$JS$4</definedName>
    <definedName name="LuminosityAndFabric">Data!$RC$2:$RC$9</definedName>
    <definedName name="LV1_Colour">'Transition Blinds &amp; Roma Shades'!$CK$8:$CK$14</definedName>
    <definedName name="LV2_Colour">'Transition Blinds &amp; Roma Shades'!$CL$8:$CL$13</definedName>
    <definedName name="Magnet_Catch">Data!$IM$3:$IM$4</definedName>
    <definedName name="MahoganyW306">Data!$HL$3:$HL$4</definedName>
    <definedName name="MapleW893">Data!$HJ$3:$HJ$4</definedName>
    <definedName name="Maui">Data!$Z$3:$Z$7</definedName>
    <definedName name="Medium_Face_Fit_L_Frame_Material">Data!$GK$2:$GK$3</definedName>
    <definedName name="Medium_L_Frame_Material">Data!$GL$2:$GL$3</definedName>
    <definedName name="Metal_Return_Clip_For_Fascia">Data!$IV$17</definedName>
    <definedName name="Milan">Data!$PG$2:$PG$13</definedName>
    <definedName name="MochaW811">Data!$HE$3:$HE$4</definedName>
    <definedName name="Monti_Colour">'Transition Blinds &amp; Roma Shades'!$EW$8:$EW$11</definedName>
    <definedName name="Motor_Left">Data!$VA$14</definedName>
    <definedName name="Motor_Right">Data!$VB$14</definedName>
    <definedName name="Motor_Side_No">Data!$UZ$14</definedName>
    <definedName name="Motor_Side_Yes">Data!$UY$14:$UY$15</definedName>
    <definedName name="Motorised_Battery">Data!$RM$2:$RM$9</definedName>
    <definedName name="Motorised_Battery_25mm_Single">Data!$WB$2:$WB$7</definedName>
    <definedName name="Motorised_Battery_38mm_Double">Data!$WX$2:$WX$3</definedName>
    <definedName name="Motorised_Battery_38mm_Single">Data!$WM$2:$WM$14</definedName>
    <definedName name="Motorised_Battery_45mm_Single">Data!$WM$48:$WM$54</definedName>
    <definedName name="Motorised_Battery_Control">Data!$ZE$2</definedName>
    <definedName name="Motorised_Day_Night_25mm_Single">Data!$VZ$26:$VZ$27</definedName>
    <definedName name="Motorised_Day_Night_38mm_Double">Data!$WV$26:$WV$27</definedName>
    <definedName name="Motorised_Day_Night_38mm_Single">Data!$WK$26:$WK$27</definedName>
    <definedName name="Motorised_Day_Night_45mm_Single">Data!$WK$101:$WK$102</definedName>
    <definedName name="Motorised_Day_Night_45mm_Single_Cell_In_A_Cell">Data!$WK$127:$WK$128</definedName>
    <definedName name="Motorised_Hardwired">Data!$RN$2:$RN$9</definedName>
    <definedName name="Motorised_Hardwired_25mm_Single">Data!$WC$2:$WC$7</definedName>
    <definedName name="Motorised_Hardwired_38mm_Double">Data!$WY$2:$WY$3</definedName>
    <definedName name="Motorised_Hardwired_38mm_Single">Data!$WN$2:$WN$14</definedName>
    <definedName name="Motorised_Hardwired_45mm_Single">Data!$WN$48:$WN$54</definedName>
    <definedName name="Motorised_Hardwired_Control">Data!$ZF$2</definedName>
    <definedName name="Motorised_Standard_25mm_Single">Data!$VY$26:$VY$31</definedName>
    <definedName name="Motorised_Standard_38mm_Double">Data!$WU$26:$WU$27</definedName>
    <definedName name="Motorised_Standard_38mm_Single">Data!$WJ$26:$WJ$38</definedName>
    <definedName name="Motorised_Standard_45mm_Single">Data!$WJ$101:$WJ$114</definedName>
    <definedName name="Motorised_Standard_45mm_Single_Cell_In_A_Cell">Data!$WJ$127:$WJ$130</definedName>
    <definedName name="Motorised_Top_Down_Bottom_Up_25mm_Single">Data!$WA$26:$WA$31</definedName>
    <definedName name="Motorised_Top_Down_Bottom_Up_38mm_Double">Data!$WW$26:$WW$27</definedName>
    <definedName name="Motorised_Top_Down_Bottom_Up_38mm_Single">Data!$WL$26:$WL$38</definedName>
    <definedName name="Motorised_Top_Down_Bottom_Up_45mm_Single">Data!$WL$101:$WL$114</definedName>
    <definedName name="Motorised_Top_Down_Bottom_Up_45mm_Single_Cell_In_A_Cell">Data!$WL$127:$WL$130</definedName>
    <definedName name="Mounting_Block_18mm_x_18mm_Material">Data!$GM$2:$GM$3</definedName>
    <definedName name="Mounting_Block_30mm_x_30mm_Material">Data!$GN$2:$GN$3</definedName>
    <definedName name="MountingMethod">Data!$BI$3:$BI$7</definedName>
    <definedName name="MountingMethodIN">Data!$ME$3:$ME$8</definedName>
    <definedName name="MountingMethodMS">Data!$MG$3</definedName>
    <definedName name="MountingMethodOUT">Data!$MF$3:$MF$7</definedName>
    <definedName name="MSNALayoutCodes">Data!$MC$2</definedName>
    <definedName name="Multi_Shade">'Transition Blinds &amp; Roma Shades'!$BI$8</definedName>
    <definedName name="Multi_Shade_Finish">'Transition Blinds &amp; Roma Shades'!$BU$8:$BU$24</definedName>
    <definedName name="NA_BFT">Data!$DX$4</definedName>
    <definedName name="NA_TF">Data!$EE$4</definedName>
    <definedName name="NAFrameType">Data!$FO$2</definedName>
    <definedName name="Naples">Data!$QG$2:$QG$9</definedName>
    <definedName name="No">Data!$AE$3</definedName>
    <definedName name="OffWhiteF286">Data!$HP$3:$HP$4</definedName>
    <definedName name="OPTIONGROUP35">Data!$P$1:$P$8</definedName>
    <definedName name="OPTIONGROUP35_LK">Data!$P$1:$R$7</definedName>
    <definedName name="OPTIONGROUP36">Data!$P$9:$P$16</definedName>
    <definedName name="OPTIONGROUP36_LK">Data!$P$8:$R$15</definedName>
    <definedName name="OPTIONGROUP37">Data!$P$17:$P$24</definedName>
    <definedName name="OPTIONGROUP37_LK">Data!$P$16:$R$23</definedName>
    <definedName name="OPTIONGROUP38">Data!$P$25:$P$32</definedName>
    <definedName name="OPTIONGROUP38_LK">Data!$P$24:$R$31</definedName>
    <definedName name="ORDERVAR35">Data!$N$1:$N$6</definedName>
    <definedName name="ORDERVAR36">Data!$N$7:$N$13</definedName>
    <definedName name="ORDERVAR37">Data!$N$14:$N$19</definedName>
    <definedName name="ORDERVAR38">Data!$N$21:$N$27</definedName>
    <definedName name="Other_Bottom_Rail_Colour">'Transition Blinds &amp; Roma Shades'!$FD$8</definedName>
    <definedName name="OtherControl">Data!$QK$2:$QK$11</definedName>
    <definedName name="Oval_Bottom_Rail">Data!$CS$3:$CS$7</definedName>
    <definedName name="Oval_Bottom_Rail_2">Data!$CS$18:$CS$23</definedName>
    <definedName name="Over_Roll_Or_Standard_Multi_Shade">'Transition Blinds &amp; Roma Shades'!$FG$8:$FG$9</definedName>
    <definedName name="Over_Roll_Or_Standard_Roman_Shade">'Transition Blinds &amp; Roma Shades'!$FH$8</definedName>
    <definedName name="Over_Roll_Or_Standard_Triple_Shade">'Transition Blinds &amp; Roma Shades'!$FI$8</definedName>
    <definedName name="Pacific_Sales_Coordinator">Data!$BA$3:$BA$7</definedName>
    <definedName name="Panel_Glide_Blind_Product">Data!$ABB$2:$ABB$12</definedName>
    <definedName name="Panel_Glide_Bottom_Rail_Colour">Data!$ABD$2:$ABD$7</definedName>
    <definedName name="Panel_Glide_Sewn_In_Pocket">Data!$ABE$2</definedName>
    <definedName name="Panel_Quantity">Data!$ABC$2:$ABC$8</definedName>
    <definedName name="Panel_Quantity_2">Data!$ABN$2:$ABN$3</definedName>
    <definedName name="Panel_Quantity_3">Data!$ABO$2:$ABO$4</definedName>
    <definedName name="Panel_Quantity_4">Data!$ABP$2:$ABP$3</definedName>
    <definedName name="Panel_Quantity_5">Data!$ABQ$2:$ABQ$4</definedName>
    <definedName name="Panel_Quantity_6">Data!$ABR$2:$ABR$3</definedName>
    <definedName name="Panel_Quantity_7">Data!$ABS$2</definedName>
    <definedName name="Panel_Quantity_9">Data!$ABU$2</definedName>
    <definedName name="Paris">Data!$AA$3:$AA$22</definedName>
    <definedName name="Paris_Coconut">Data!$DJ$3:$DJ$19</definedName>
    <definedName name="Pivot_Hinged_BFT">Data!$DW$4</definedName>
    <definedName name="Pivot_Hinged_Frame_Type">Data!$FI$2</definedName>
    <definedName name="Pivot_Hinged_TF">Data!$ED$4</definedName>
    <definedName name="Pivot_Hinges_Left_Right_Sides">Data!$IN$3:$IN$4</definedName>
    <definedName name="PivotHingeColour">Data!$MU$3:$MU$4</definedName>
    <definedName name="PivotHingedLayoutCodes">Data!$MX$2:$MX$6</definedName>
    <definedName name="PivotHingedTopBottomFrame">Data!$OF$3:$OF$5</definedName>
    <definedName name="Pompeii">Data!$PH$2:$PH$9</definedName>
    <definedName name="Prati_Colour">'Transition Blinds &amp; Roma Shades'!$EX$8:$EX$12</definedName>
    <definedName name="_xlnm.Print_Area" localSheetId="2">'25mm Aluminium Blinds'!$A$1:$U$37</definedName>
    <definedName name="_xlnm.Print_Area" localSheetId="5">'50mm &amp; 63mm Venetian Blinds'!$A$1:$V$37</definedName>
    <definedName name="_xlnm.Print_Area" localSheetId="6">'Cellular Blinds'!$A$1:$W$57</definedName>
    <definedName name="_xlnm.Print_Area" localSheetId="12">'CMB Bay WS'!$A$1:$L$57</definedName>
    <definedName name="_xlnm.Print_Area" localSheetId="11">'CMB Corner WS'!$A$1:$J$57</definedName>
    <definedName name="_xlnm.Print_Area" localSheetId="7">'Panel Glide Blinds'!$A$1:$U$37</definedName>
    <definedName name="_xlnm.Print_Area" localSheetId="3">'Roller Blinds'!$A$1:$Z$37</definedName>
    <definedName name="_xlnm.Print_Area" localSheetId="9">Shutters!$A$1:$AD$52</definedName>
    <definedName name="_xlnm.Print_Area" localSheetId="8">'Transition Blinds &amp; Roma Shades'!$A$1:$T$57</definedName>
    <definedName name="_xlnm.Print_Area" localSheetId="4">'Vertical Blinds'!$A$1:$V$27</definedName>
    <definedName name="PS50mm">Data!$BY$3:$BY$4</definedName>
    <definedName name="PS63mm">Data!$CA$3:$CA$4</definedName>
    <definedName name="PSColours50mm">Data!$AP$2:$AP$6</definedName>
    <definedName name="PSColours63mm">Data!$AQ$2:$AQ$3</definedName>
    <definedName name="PureWhiteF190">Data!$HR$3:$HR$4</definedName>
    <definedName name="PureWhiteW190">Data!$HN$3:$HN$4</definedName>
    <definedName name="PVC_89mm">Data!$CF$3</definedName>
    <definedName name="PVC89mm">Data!$DI$3:$DI$8</definedName>
    <definedName name="RECESS">Data!$CE$3:$CE$4</definedName>
    <definedName name="Roller_Blind_Product">Data!$W$3:$W$6</definedName>
    <definedName name="Roller_Pelmet_Colour">Data!$AD$3:$AD$5</definedName>
    <definedName name="RollerBlindsFabricAndColour">Data!$Y$14</definedName>
    <definedName name="RollerBracketType2">Data!$QF$2:$QF$5</definedName>
    <definedName name="RollerBracketTypeParis">Data!$QE$2:$QE$3</definedName>
    <definedName name="RollerChain_Left">Data!$QL$2:$QL$8</definedName>
    <definedName name="RollerChain_Motor_Left_Hand_5_Channel_Hand_Held">Data!$QO$2</definedName>
    <definedName name="RollerChain_Motor_Left_Hand_5_Channel_Wall_Mounted">Data!$QQ$2</definedName>
    <definedName name="RollerChain_Motor_Left_Hand_Single_Channel_Hand_Held">Data!$QN$2</definedName>
    <definedName name="RollerChain_Motor_Left_Hand_Single_Channel_Wall_Mounted">Data!$QP$2</definedName>
    <definedName name="RollerChain_Motor_Left_Home_Automation">Data!$QV$2</definedName>
    <definedName name="RollerChain_Motor_Right_Hand_5_Channel_Hand_Held">Data!$QS$2</definedName>
    <definedName name="RollerChain_Motor_Right_Hand_5_Channel_Wall_Mounted">Data!$QU$2</definedName>
    <definedName name="RollerChain_Motor_Right_Hand_Single_Channel_Hand_Held">Data!$QR$2</definedName>
    <definedName name="RollerChain_Motor_Right_Hand_Single_Channel_Wall_Mounted">Data!$QT$2</definedName>
    <definedName name="RollerChain_Motor_Right_Home_Automation">Data!$QW$2</definedName>
    <definedName name="RollerChain_Right">Data!$QM$2:$QM$8</definedName>
    <definedName name="RollerChainColour_Left">Data!$QL$18:$QL$22</definedName>
    <definedName name="RollerChainColour_Left_Home_Automation">Data!$QV$18</definedName>
    <definedName name="RollerChainColour_Motor_Left_Hand_5_Channel_Hand_Held">Data!$QO$18</definedName>
    <definedName name="RollerChainColour_Motor_Left_Hand_5_Channel_Wall_Mounted">Data!$QQ$18</definedName>
    <definedName name="RollerChainColour_Motor_Left_Hand_Single_Channel_Hand_Held">Data!$QN$18</definedName>
    <definedName name="RollerChainColour_Motor_Left_Hand_Single_Channel_Wall_Mounted">Data!$QP$18</definedName>
    <definedName name="RollerChainColour_Motor_Right_Hand_5_Channel_Hand_Held">Data!$QS$18</definedName>
    <definedName name="RollerChainColour_Motor_Right_Hand_5_Channel_Wall_Mounted">Data!$QU$18</definedName>
    <definedName name="RollerChainColour_Motor_Right_Hand_Single_Channel_Hand_Held">Data!$QR$18</definedName>
    <definedName name="RollerChainColour_Motor_Right_Hand_Single_Channel_Wall_Mounted">Data!$QT$18</definedName>
    <definedName name="RollerChainColour_Right">Data!$QM$18:$QM$22</definedName>
    <definedName name="RollerChainColour_Right_Home_Automation">Data!$QW$18</definedName>
    <definedName name="RollerControl">Data!$QJ$2:$QJ$3</definedName>
    <definedName name="RollerPelmetColourCommon">Data!$PY$2:$PY$4</definedName>
    <definedName name="RollerPelmetColourNo">Data!$QA$2</definedName>
    <definedName name="RollerPelmetColourStandard">Data!$PZ$2:$PZ$4</definedName>
    <definedName name="RollerPelmetInsertCommon">Data!$QB$2:$QB$3</definedName>
    <definedName name="RollerPelmetInsertNo">Data!$QD$2</definedName>
    <definedName name="RollerPelmetInsertStandard">Data!$QC$2:$QC$3</definedName>
    <definedName name="RollerUniversalPelmet">Data!$PX$2:$PX$4</definedName>
    <definedName name="Roma_Shade_Finish">'Transition Blinds &amp; Roma Shades'!$BW$8:$BW$11</definedName>
    <definedName name="Roma_Shade_Headbox">'Transition Blinds &amp; Roma Shades'!$BB$8</definedName>
    <definedName name="Roman_Shade">'Transition Blinds &amp; Roma Shades'!$BJ$8</definedName>
    <definedName name="Roman_Shade_Finish">'Transition Blinds &amp; Roma Shades'!$BV$8</definedName>
    <definedName name="Rome_Blockout">Data!$PJ$2:$PJ$6</definedName>
    <definedName name="Rome_Translucent">Data!$PI$2:$PI$6</definedName>
    <definedName name="S6_Colour">'Transition Blinds &amp; Roma Shades'!$CM$8:$CM$15</definedName>
    <definedName name="S9_Colour">'Transition Blinds &amp; Roma Shades'!$CN$8:$CN$15</definedName>
    <definedName name="Screw">Data!$IO$3:$IO$4</definedName>
    <definedName name="Sewn_In_Pocket">Data!$CT$3</definedName>
    <definedName name="SH2_Colour">'Transition Blinds &amp; Roma Shades'!$CZ$8:$CZ$13</definedName>
    <definedName name="ShutterAluminiumInsert">Data!$BS$2:$BU$2</definedName>
    <definedName name="ShutterEmail">Data!$BA$35:$BA$37</definedName>
    <definedName name="ShutterMaterial">Data!$BD$2:$BH$2</definedName>
    <definedName name="ShutterPhone">Data!$BB$35:$BB$37</definedName>
    <definedName name="Side_Winder_Bracket_Colour">'Transition Blinds &amp; Roma Shades'!$BN$8:$BN$15</definedName>
    <definedName name="Skylight_Cordless_Control">Data!$ZG$12:$ZG$13</definedName>
    <definedName name="Skylight_Motorised_Remote_Control">Data!$ZF$12</definedName>
    <definedName name="Skylight_Product">Data!$RQ$2</definedName>
    <definedName name="Slider_L_Bracket">Data!$IP$3</definedName>
    <definedName name="Sliding_BFT">Data!$DU$4:$DU$7</definedName>
    <definedName name="Sliding_Frame_108mm_x_35mm_Bi_Pass_Frame_Material">Data!$GO$2:$GO$3</definedName>
    <definedName name="Sliding_Frame_Type">Data!$FM$2:$FM$5</definedName>
    <definedName name="Sliding_TF">Data!$EB$4</definedName>
    <definedName name="SlidingLayoutCodes">Data!$LZ$2:$LZ$24</definedName>
    <definedName name="Small_Face_Fit_L_Frame_Material">Data!$GP$2:$GP$3</definedName>
    <definedName name="Small_L_Frame_Material">Data!$GQ$2:$GQ$3</definedName>
    <definedName name="Small_Tube">Data!$KS$2:$KS$3</definedName>
    <definedName name="SOCDoubleHinged">Data!$JC$3</definedName>
    <definedName name="SOCFixed">Data!$JF$3</definedName>
    <definedName name="SOCHinged">Data!$JB$3</definedName>
    <definedName name="SOCNA">Data!$JA$3</definedName>
    <definedName name="SOCPivotHinged">Data!$JG$3</definedName>
    <definedName name="SOCSliding">Data!$JE$3:$JE$4</definedName>
    <definedName name="SOCTrackBiFold">Data!$JD$3</definedName>
    <definedName name="SP1_Colour">'Transition Blinds &amp; Roma Shades'!$CX$8:$CX$11</definedName>
    <definedName name="SP10_Colour">'Transition Blinds &amp; Roma Shades'!$CY$8:$CY$11</definedName>
    <definedName name="Special_Comments_1">Data!$EM$3:$EM$15</definedName>
    <definedName name="Special_Comments_2">Data!$EN$3:$EN$15</definedName>
    <definedName name="Special_Comments_3">Data!$EO$3:$EO$15</definedName>
    <definedName name="Special_Window">Data!$EJ$3:$EJ$13</definedName>
    <definedName name="Spring_Pin">Data!$IQ$3</definedName>
    <definedName name="Stack">'Transition Blinds &amp; Roma Shades'!$BF$8:$BF$11</definedName>
    <definedName name="Standard">Data!$KM$2</definedName>
    <definedName name="Standard_Hinge">Data!$IR$3:$IR$11</definedName>
    <definedName name="Standard_Hinge_Large_90mm">Data!$IW$3:$IW$6</definedName>
    <definedName name="Stepped_Rabbet_Hinge">Data!$IS$3:$IS$10</definedName>
    <definedName name="Store_Name">'Stores &amp; Delivery Addresses '!$B$3:$B$302</definedName>
    <definedName name="STYLE35">Data!$I$1</definedName>
    <definedName name="STYLE35_LK">Data!$I$1:$K$1</definedName>
    <definedName name="STYLE36">Data!$I$2</definedName>
    <definedName name="STYLE36_LK">Data!$I$2:$K$2</definedName>
    <definedName name="STYLE37">Data!$I$3</definedName>
    <definedName name="STYLE37_LK">Data!$I$3:$K$3</definedName>
    <definedName name="STYLE38">Data!$I$4</definedName>
    <definedName name="STYLE38_LK">Data!$I$4:$K$4</definedName>
    <definedName name="Sunscreen">Data!$AB$3:$AB$11</definedName>
    <definedName name="T_Post_Material">Data!$GR$2:$GR$3</definedName>
    <definedName name="Termini_Colour">'Transition Blinds &amp; Roma Shades'!$EY$8:$EY$13</definedName>
    <definedName name="TiltCordless">'50mm &amp; 63mm Venetian Blinds'!$AV$8:$AV$9</definedName>
    <definedName name="Tiltrod">Data!$BW$3:$BW$6</definedName>
    <definedName name="Timber_Blade">Data!$EW$3:$EW$5</definedName>
    <definedName name="Timber_Double_Hinged_Frame_Type">Data!$FH$2:$FH$12</definedName>
    <definedName name="Timber_Eco">Data!$BD$3:$BD$11</definedName>
    <definedName name="Timber_Hinged_Frame_Type">Data!$FG$2:$FG$12</definedName>
    <definedName name="TimberColours50mm">Data!$AR$2:$AR$6</definedName>
    <definedName name="TimberExtraOptionsStd">Data!$KC$3:$KC$11</definedName>
    <definedName name="TimberExtrasOptions">Data!$IX$3:$IX$10</definedName>
    <definedName name="TimberExtrasOptionsPainted">Data!$KB$3:$KB$7</definedName>
    <definedName name="TimberN">Data!$BS$3</definedName>
    <definedName name="TimberT">Data!$CM$3</definedName>
    <definedName name="Top_Bottom_Rail_137.5mm_x_21mm_Material">Data!$GS$2:$GS$3</definedName>
    <definedName name="Top_Fixed_Pivot_Bracket">Data!$IT$3</definedName>
    <definedName name="Top_Track_Stopper_Block">Data!$IU$3</definedName>
    <definedName name="Top_Wheel">Data!$IV$3</definedName>
    <definedName name="TopBottom_Rail_137.5mm_x_21mmReinforced_Profile">Data!$GS$13</definedName>
    <definedName name="TopFrame100mm">Data!$OA$3</definedName>
    <definedName name="TopFrame140mm">Data!$OB$3</definedName>
    <definedName name="TopFrame180mm">Data!$OC$3</definedName>
    <definedName name="TopFrame220mm">Data!$OD$3</definedName>
    <definedName name="TopFrameBullnoseZFrame">Data!$NY$3:$NY$6</definedName>
    <definedName name="TopFrameHangingStrip">Data!$NP$3:$NP$5</definedName>
    <definedName name="TopFrameLargeBullnoseZFrame">Data!$OG$3:$OG$6</definedName>
    <definedName name="TopFrameLargeFFLFrame">Data!$NV$3:$NV$5</definedName>
    <definedName name="TopFrameLargeLFrame">Data!$NU$3:$NU$5</definedName>
    <definedName name="TopFrameLargeZFrame">Data!$NX$3:$NX$6</definedName>
    <definedName name="TopFrameMediumFFLFrame">Data!$NT$3:$NT$5</definedName>
    <definedName name="TopFrameMediumLFrame">Data!$NS$3:$NS$5</definedName>
    <definedName name="TopFrameNA">Data!$OE$3</definedName>
    <definedName name="TopFrameNoFrame">Data!$NO$3:$NO$5</definedName>
    <definedName name="TopFrameSmallFFLFrame">Data!$NR$3:$NR$5</definedName>
    <definedName name="TopFrameSmallLFrame">Data!$NQ$3:$NQ$5</definedName>
    <definedName name="TopFrameStandardZFrame">Data!$NW$3:$NW$6</definedName>
    <definedName name="TopFrameUChannel">Data!$NZ$3</definedName>
    <definedName name="Track_Bi_Fold_BFT">Data!$DT$4:$DT$6</definedName>
    <definedName name="Track_Bi_Fold_Frame_Type">Data!$FL$2</definedName>
    <definedName name="Track_Bi_Fold_TF">Data!$EA$4</definedName>
    <definedName name="TrackBiFoldLayoutCodes">Data!$MA$2:$MA$14</definedName>
    <definedName name="Tracking_For_Bi_Fold_Sliding_Shutters_Material">Data!$GT$2:$GT$3</definedName>
    <definedName name="Transition_Range_Blinds_Product_Type">'Transition Blinds &amp; Roma Shades'!$BE$8:$BE$10</definedName>
    <definedName name="Tridente_Colour">'Transition Blinds &amp; Roma Shades'!$EZ$8:$EZ$13</definedName>
    <definedName name="Triple_Shade">'Transition Blinds &amp; Roma Shades'!$BK$8</definedName>
    <definedName name="Triple_Shade_Finish">'Transition Blinds &amp; Roma Shades'!$BX$8:$BX$11</definedName>
    <definedName name="Tube38mm">Data!$AF$3:$AF$16</definedName>
    <definedName name="Tube45mm">Data!$AH$3:$AH$8</definedName>
    <definedName name="U_Channel_40mm_x_15mm_Material">Data!$GU$2:$GU$3</definedName>
    <definedName name="U_Channel_40mm_x_25mm_Material">Data!$GV$2:$GV$3</definedName>
    <definedName name="UChannelNA">'Cellular Blinds'!$BK$8</definedName>
    <definedName name="UChannelYes">'Cellular Blinds'!$BL$8:$BL$10</definedName>
    <definedName name="VenetianProduct">Data!$OL$3:$OL$7</definedName>
    <definedName name="Venice">Data!$PL$2:$PL$7</definedName>
    <definedName name="Vertical_Extension_Bracket_Option">'Transition Blinds &amp; Roma Shades'!$FA$8:$FA$9</definedName>
    <definedName name="Vertical_Extension_Bracket_Option_NA">'Transition Blinds &amp; Roma Shades'!$FB$8</definedName>
    <definedName name="Vertical_Shade">'Transition Blinds &amp; Roma Shades'!$BL$8:$BL$11</definedName>
    <definedName name="Vertical_Shade_Finish">'Transition Blinds &amp; Roma Shades'!$BY$8:$BY$9</definedName>
    <definedName name="VerticalColours">Data!$AL$2:$AL$7</definedName>
    <definedName name="VerticalPelmentNo">Data!$CV$3</definedName>
    <definedName name="VerticalPelmentYes">Data!$CU$3:$CU$5</definedName>
    <definedName name="VerticalTrack">Data!$DL$3:$DL$6</definedName>
    <definedName name="WalnutW891">Data!$HI$3:$HI$4</definedName>
    <definedName name="White">Data!$CU$4:$CU$5</definedName>
    <definedName name="WhiteF186">Data!$HO$3:$HO$4</definedName>
    <definedName name="WhiteW105">Data!$HA$3:$HA$5</definedName>
    <definedName name="WindowType">Data!$AJ$2:$AJ$10</definedName>
    <definedName name="WindowTypeNA">Data!$AK$2</definedName>
    <definedName name="WindowTypeSkylight">Data!$AJ$20</definedName>
    <definedName name="Yes">Data!$CU$3:$CU$5</definedName>
    <definedName name="Z_Sill_Frame_Material">Data!$GW$2:$GW$3</definedName>
  </definedNames>
  <calcPr calcId="191029"/>
</workbook>
</file>

<file path=xl/calcChain.xml><?xml version="1.0" encoding="utf-8"?>
<calcChain xmlns="http://schemas.openxmlformats.org/spreadsheetml/2006/main">
  <c r="AW9" i="14" l="1"/>
  <c r="AW10" i="14"/>
  <c r="AW11" i="14"/>
  <c r="AW12" i="14"/>
  <c r="AW13" i="14"/>
  <c r="AW14" i="14"/>
  <c r="AW15" i="14"/>
  <c r="AW16" i="14"/>
  <c r="AW17" i="14"/>
  <c r="AW18" i="14"/>
  <c r="AW19" i="14"/>
  <c r="AW20" i="14"/>
  <c r="AW21" i="14"/>
  <c r="AW22" i="14"/>
  <c r="AW23" i="14"/>
  <c r="AW24" i="14"/>
  <c r="AW25" i="14"/>
  <c r="AW26" i="14"/>
  <c r="AW27" i="14"/>
  <c r="AW28" i="14"/>
  <c r="AW29" i="14"/>
  <c r="AW30" i="14"/>
  <c r="AW31" i="14"/>
  <c r="AW32" i="14"/>
  <c r="AW33" i="14"/>
  <c r="AW34" i="14"/>
  <c r="AW35" i="14"/>
  <c r="AW36" i="14"/>
  <c r="AW37" i="14"/>
  <c r="AW38" i="14"/>
  <c r="AW39" i="14"/>
  <c r="AW40" i="14"/>
  <c r="AW41" i="14"/>
  <c r="AW42" i="14"/>
  <c r="AW43" i="14"/>
  <c r="AW44" i="14"/>
  <c r="AW45" i="14"/>
  <c r="AW46" i="14"/>
  <c r="AW47" i="14"/>
  <c r="AW48" i="14"/>
  <c r="AW49" i="14"/>
  <c r="AW50" i="14"/>
  <c r="AW51" i="14"/>
  <c r="AW52" i="14"/>
  <c r="AW53" i="14"/>
  <c r="AW54" i="14"/>
  <c r="AW55" i="14"/>
  <c r="AW56" i="14"/>
  <c r="AW57" i="14"/>
  <c r="AW8" i="14"/>
  <c r="AT9" i="14" l="1"/>
  <c r="AT10" i="14"/>
  <c r="AT11" i="14"/>
  <c r="AT12" i="14"/>
  <c r="AT13" i="14"/>
  <c r="AT14" i="14"/>
  <c r="AT15" i="14"/>
  <c r="AT16" i="14"/>
  <c r="AT17" i="14"/>
  <c r="AT18" i="14"/>
  <c r="AT19" i="14"/>
  <c r="AT20" i="14"/>
  <c r="AT21" i="14"/>
  <c r="AT22" i="14"/>
  <c r="AT23" i="14"/>
  <c r="AT24" i="14"/>
  <c r="AT25" i="14"/>
  <c r="AT26" i="14"/>
  <c r="AT27" i="14"/>
  <c r="AT28" i="14"/>
  <c r="AT29" i="14"/>
  <c r="AT30" i="14"/>
  <c r="AT31" i="14"/>
  <c r="AT32" i="14"/>
  <c r="AT33" i="14"/>
  <c r="AT34" i="14"/>
  <c r="AT35" i="14"/>
  <c r="AT36" i="14"/>
  <c r="AT37" i="14"/>
  <c r="AT38" i="14"/>
  <c r="AT39" i="14"/>
  <c r="AT40" i="14"/>
  <c r="AT41" i="14"/>
  <c r="AT42" i="14"/>
  <c r="AT43" i="14"/>
  <c r="AT44" i="14"/>
  <c r="AT45" i="14"/>
  <c r="AT46" i="14"/>
  <c r="AT47" i="14"/>
  <c r="AT48" i="14"/>
  <c r="AT49" i="14"/>
  <c r="AT50" i="14"/>
  <c r="AT51" i="14"/>
  <c r="AT52" i="14"/>
  <c r="AT53" i="14"/>
  <c r="AT54" i="14"/>
  <c r="AT55" i="14"/>
  <c r="AT56" i="14"/>
  <c r="AT57" i="14"/>
  <c r="AT8" i="14"/>
  <c r="AQ11" i="14"/>
  <c r="AQ10" i="14"/>
  <c r="AQ9" i="14"/>
  <c r="AQ12" i="14"/>
  <c r="AQ8" i="14"/>
  <c r="DC9" i="21"/>
  <c r="DC11" i="21"/>
  <c r="DC12" i="21"/>
  <c r="DC15" i="21"/>
  <c r="DC16" i="21"/>
  <c r="DC17" i="21"/>
  <c r="DC18" i="21"/>
  <c r="DC19" i="21"/>
  <c r="DC20" i="21"/>
  <c r="DC21" i="21"/>
  <c r="DC22" i="21"/>
  <c r="DC23" i="21"/>
  <c r="DC24" i="21"/>
  <c r="DC25" i="21"/>
  <c r="DC26" i="21"/>
  <c r="DC27" i="21"/>
  <c r="DC28" i="21"/>
  <c r="DC29" i="21"/>
  <c r="DC30" i="21"/>
  <c r="DC31" i="21"/>
  <c r="DC32" i="21"/>
  <c r="DC33" i="21"/>
  <c r="DC34" i="21"/>
  <c r="DC35" i="21"/>
  <c r="DC36" i="21"/>
  <c r="DC37" i="21"/>
  <c r="DC38" i="21"/>
  <c r="DC39" i="21"/>
  <c r="DC40" i="21"/>
  <c r="DC41" i="21"/>
  <c r="DC42" i="21"/>
  <c r="DC43" i="21"/>
  <c r="DC44" i="21"/>
  <c r="DC45" i="21"/>
  <c r="DC46" i="21"/>
  <c r="DC47" i="21"/>
  <c r="DC48" i="21"/>
  <c r="DC49" i="21"/>
  <c r="DC50" i="21"/>
  <c r="DC51" i="21"/>
  <c r="DC52" i="21"/>
  <c r="DC53" i="21"/>
  <c r="DC54" i="21"/>
  <c r="DC55" i="21"/>
  <c r="DC56" i="21"/>
  <c r="DC57" i="21"/>
  <c r="CT9" i="21"/>
  <c r="CT11" i="21"/>
  <c r="CT12" i="21"/>
  <c r="CT15" i="21"/>
  <c r="CT16" i="21"/>
  <c r="CT17" i="21"/>
  <c r="CT18" i="21"/>
  <c r="CT19" i="21"/>
  <c r="CT20" i="21"/>
  <c r="CT21" i="21"/>
  <c r="CT22" i="21"/>
  <c r="CT23" i="21"/>
  <c r="CT24" i="21"/>
  <c r="CT25" i="21"/>
  <c r="CT26" i="21"/>
  <c r="CT27" i="21"/>
  <c r="CT28" i="21"/>
  <c r="CT29" i="21"/>
  <c r="CT30" i="21"/>
  <c r="CT31" i="21"/>
  <c r="CT32" i="21"/>
  <c r="CT33" i="21"/>
  <c r="CT34" i="21"/>
  <c r="CT35" i="21"/>
  <c r="CT36" i="21"/>
  <c r="CT37" i="21"/>
  <c r="CT38" i="21"/>
  <c r="CT39" i="21"/>
  <c r="CT40" i="21"/>
  <c r="CT41" i="21"/>
  <c r="CT42" i="21"/>
  <c r="CT43" i="21"/>
  <c r="CT44" i="21"/>
  <c r="CT45" i="21"/>
  <c r="CT46" i="21"/>
  <c r="CT47" i="21"/>
  <c r="CT48" i="21"/>
  <c r="CT49" i="21"/>
  <c r="CT50" i="21"/>
  <c r="CT51" i="21"/>
  <c r="CT52" i="21"/>
  <c r="CT53" i="21"/>
  <c r="CT54" i="21"/>
  <c r="CT55" i="21"/>
  <c r="CT56" i="21"/>
  <c r="CT57" i="21"/>
  <c r="CU9" i="21"/>
  <c r="CV9" i="21"/>
  <c r="CY9" i="21"/>
  <c r="CZ9" i="21"/>
  <c r="DA9" i="21" s="1"/>
  <c r="DB9" i="21" s="1"/>
  <c r="CU10" i="21"/>
  <c r="CV10" i="21"/>
  <c r="CY10" i="21"/>
  <c r="CZ10" i="21"/>
  <c r="CU11" i="21"/>
  <c r="CV11" i="21"/>
  <c r="CW11" i="21" s="1"/>
  <c r="CX11" i="21" s="1"/>
  <c r="CY11" i="21"/>
  <c r="CZ11" i="21"/>
  <c r="DA11" i="21" s="1"/>
  <c r="DB11" i="21" s="1"/>
  <c r="CU12" i="21"/>
  <c r="CV12" i="21"/>
  <c r="CY12" i="21"/>
  <c r="CZ12" i="21"/>
  <c r="DA12" i="21" s="1"/>
  <c r="DB12" i="21" s="1"/>
  <c r="CU13" i="21"/>
  <c r="CV13" i="21"/>
  <c r="CY13" i="21"/>
  <c r="CZ13" i="21"/>
  <c r="CU14" i="21"/>
  <c r="CV14" i="21"/>
  <c r="CY14" i="21"/>
  <c r="CZ14" i="21"/>
  <c r="CU15" i="21"/>
  <c r="CV15" i="21"/>
  <c r="CW15" i="21" s="1"/>
  <c r="CX15" i="21" s="1"/>
  <c r="CY15" i="21"/>
  <c r="CZ15" i="21"/>
  <c r="DA15" i="21" s="1"/>
  <c r="DB15" i="21" s="1"/>
  <c r="CU16" i="21"/>
  <c r="CW16" i="21" s="1"/>
  <c r="CX16" i="21" s="1"/>
  <c r="CV16" i="21"/>
  <c r="CY16" i="21"/>
  <c r="CZ16" i="21"/>
  <c r="DA16" i="21" s="1"/>
  <c r="DB16" i="21" s="1"/>
  <c r="CU17" i="21"/>
  <c r="CV17" i="21"/>
  <c r="CW17" i="21" s="1"/>
  <c r="CX17" i="21" s="1"/>
  <c r="CY17" i="21"/>
  <c r="CZ17" i="21"/>
  <c r="DA17" i="21"/>
  <c r="DB17" i="21" s="1"/>
  <c r="CU18" i="21"/>
  <c r="CV18" i="21"/>
  <c r="CW18" i="21" s="1"/>
  <c r="CX18" i="21" s="1"/>
  <c r="CY18" i="21"/>
  <c r="CZ18" i="21"/>
  <c r="DA18" i="21" s="1"/>
  <c r="DB18" i="21" s="1"/>
  <c r="CU19" i="21"/>
  <c r="CV19" i="21"/>
  <c r="CW19" i="21" s="1"/>
  <c r="CX19" i="21" s="1"/>
  <c r="CY19" i="21"/>
  <c r="CZ19" i="21"/>
  <c r="DA19" i="21" s="1"/>
  <c r="DB19" i="21" s="1"/>
  <c r="CU20" i="21"/>
  <c r="CV20" i="21"/>
  <c r="CY20" i="21"/>
  <c r="CZ20" i="21"/>
  <c r="DA20" i="21" s="1"/>
  <c r="DB20" i="21" s="1"/>
  <c r="CU21" i="21"/>
  <c r="CV21" i="21"/>
  <c r="CW21" i="21" s="1"/>
  <c r="CX21" i="21" s="1"/>
  <c r="CY21" i="21"/>
  <c r="CZ21" i="21"/>
  <c r="DA21" i="21"/>
  <c r="DB21" i="21" s="1"/>
  <c r="CU22" i="21"/>
  <c r="CV22" i="21"/>
  <c r="CW22" i="21" s="1"/>
  <c r="CX22" i="21" s="1"/>
  <c r="CY22" i="21"/>
  <c r="CZ22" i="21"/>
  <c r="DA22" i="21"/>
  <c r="DB22" i="21" s="1"/>
  <c r="CU23" i="21"/>
  <c r="CV23" i="21"/>
  <c r="CW23" i="21" s="1"/>
  <c r="CX23" i="21" s="1"/>
  <c r="CY23" i="21"/>
  <c r="CZ23" i="21"/>
  <c r="DA23" i="21" s="1"/>
  <c r="DB23" i="21" s="1"/>
  <c r="CU24" i="21"/>
  <c r="CV24" i="21"/>
  <c r="CY24" i="21"/>
  <c r="CZ24" i="21"/>
  <c r="DA24" i="21" s="1"/>
  <c r="DB24" i="21" s="1"/>
  <c r="CU25" i="21"/>
  <c r="CV25" i="21"/>
  <c r="CW25" i="21" s="1"/>
  <c r="CX25" i="21" s="1"/>
  <c r="CY25" i="21"/>
  <c r="CZ25" i="21"/>
  <c r="DA25" i="21"/>
  <c r="DB25" i="21" s="1"/>
  <c r="CU26" i="21"/>
  <c r="CV26" i="21"/>
  <c r="CW26" i="21" s="1"/>
  <c r="CX26" i="21" s="1"/>
  <c r="CY26" i="21"/>
  <c r="CZ26" i="21"/>
  <c r="DA26" i="21"/>
  <c r="DB26" i="21" s="1"/>
  <c r="CU27" i="21"/>
  <c r="CV27" i="21"/>
  <c r="CW27" i="21" s="1"/>
  <c r="CX27" i="21" s="1"/>
  <c r="CY27" i="21"/>
  <c r="CZ27" i="21"/>
  <c r="DA27" i="21" s="1"/>
  <c r="DB27" i="21" s="1"/>
  <c r="CU28" i="21"/>
  <c r="CV28" i="21"/>
  <c r="CY28" i="21"/>
  <c r="CZ28" i="21"/>
  <c r="DA28" i="21" s="1"/>
  <c r="DB28" i="21" s="1"/>
  <c r="CU29" i="21"/>
  <c r="CV29" i="21"/>
  <c r="CW29" i="21" s="1"/>
  <c r="CX29" i="21" s="1"/>
  <c r="CY29" i="21"/>
  <c r="CZ29" i="21"/>
  <c r="DA29" i="21"/>
  <c r="DB29" i="21" s="1"/>
  <c r="CU30" i="21"/>
  <c r="CV30" i="21"/>
  <c r="CW30" i="21" s="1"/>
  <c r="CX30" i="21" s="1"/>
  <c r="CY30" i="21"/>
  <c r="CZ30" i="21"/>
  <c r="DA30" i="21"/>
  <c r="DB30" i="21" s="1"/>
  <c r="CU31" i="21"/>
  <c r="CV31" i="21"/>
  <c r="CW31" i="21" s="1"/>
  <c r="CX31" i="21" s="1"/>
  <c r="CY31" i="21"/>
  <c r="CZ31" i="21"/>
  <c r="DA31" i="21" s="1"/>
  <c r="DB31" i="21" s="1"/>
  <c r="CU32" i="21"/>
  <c r="CV32" i="21"/>
  <c r="CY32" i="21"/>
  <c r="CZ32" i="21"/>
  <c r="DA32" i="21" s="1"/>
  <c r="DB32" i="21" s="1"/>
  <c r="CU33" i="21"/>
  <c r="CV33" i="21"/>
  <c r="CW33" i="21" s="1"/>
  <c r="CX33" i="21" s="1"/>
  <c r="CY33" i="21"/>
  <c r="CZ33" i="21"/>
  <c r="DA33" i="21"/>
  <c r="DB33" i="21" s="1"/>
  <c r="CU34" i="21"/>
  <c r="CV34" i="21"/>
  <c r="CW34" i="21" s="1"/>
  <c r="CX34" i="21" s="1"/>
  <c r="CY34" i="21"/>
  <c r="CZ34" i="21"/>
  <c r="DA34" i="21"/>
  <c r="DB34" i="21" s="1"/>
  <c r="CU35" i="21"/>
  <c r="CV35" i="21"/>
  <c r="CW35" i="21"/>
  <c r="CX35" i="21" s="1"/>
  <c r="CY35" i="21"/>
  <c r="CZ35" i="21"/>
  <c r="DA35" i="21" s="1"/>
  <c r="DB35" i="21" s="1"/>
  <c r="CU36" i="21"/>
  <c r="CV36" i="21"/>
  <c r="CY36" i="21"/>
  <c r="CZ36" i="21"/>
  <c r="DA36" i="21" s="1"/>
  <c r="DB36" i="21" s="1"/>
  <c r="CU37" i="21"/>
  <c r="CV37" i="21"/>
  <c r="CW37" i="21" s="1"/>
  <c r="CX37" i="21" s="1"/>
  <c r="CY37" i="21"/>
  <c r="CZ37" i="21"/>
  <c r="DA37" i="21" s="1"/>
  <c r="DB37" i="21" s="1"/>
  <c r="CU38" i="21"/>
  <c r="CV38" i="21"/>
  <c r="CW38" i="21" s="1"/>
  <c r="CX38" i="21" s="1"/>
  <c r="CY38" i="21"/>
  <c r="CZ38" i="21"/>
  <c r="DA38" i="21"/>
  <c r="DB38" i="21" s="1"/>
  <c r="CU39" i="21"/>
  <c r="CV39" i="21"/>
  <c r="CW39" i="21"/>
  <c r="CX39" i="21" s="1"/>
  <c r="CY39" i="21"/>
  <c r="CZ39" i="21"/>
  <c r="DA39" i="21" s="1"/>
  <c r="DB39" i="21" s="1"/>
  <c r="CU40" i="21"/>
  <c r="CV40" i="21"/>
  <c r="CY40" i="21"/>
  <c r="CZ40" i="21"/>
  <c r="DA40" i="21" s="1"/>
  <c r="DB40" i="21" s="1"/>
  <c r="CU41" i="21"/>
  <c r="CV41" i="21"/>
  <c r="CW41" i="21" s="1"/>
  <c r="CX41" i="21" s="1"/>
  <c r="CY41" i="21"/>
  <c r="CZ41" i="21"/>
  <c r="DA41" i="21"/>
  <c r="DB41" i="21" s="1"/>
  <c r="CU42" i="21"/>
  <c r="CV42" i="21"/>
  <c r="CW42" i="21" s="1"/>
  <c r="CX42" i="21" s="1"/>
  <c r="CY42" i="21"/>
  <c r="CZ42" i="21"/>
  <c r="DA42" i="21" s="1"/>
  <c r="DB42" i="21" s="1"/>
  <c r="CU43" i="21"/>
  <c r="CV43" i="21"/>
  <c r="CW43" i="21"/>
  <c r="CX43" i="21" s="1"/>
  <c r="CY43" i="21"/>
  <c r="CZ43" i="21"/>
  <c r="DA43" i="21" s="1"/>
  <c r="DB43" i="21" s="1"/>
  <c r="CU44" i="21"/>
  <c r="CV44" i="21"/>
  <c r="CY44" i="21"/>
  <c r="CZ44" i="21"/>
  <c r="DA44" i="21" s="1"/>
  <c r="DB44" i="21" s="1"/>
  <c r="CU45" i="21"/>
  <c r="CV45" i="21"/>
  <c r="CW45" i="21" s="1"/>
  <c r="CX45" i="21" s="1"/>
  <c r="CY45" i="21"/>
  <c r="CZ45" i="21"/>
  <c r="DA45" i="21" s="1"/>
  <c r="DB45" i="21" s="1"/>
  <c r="CU46" i="21"/>
  <c r="CV46" i="21"/>
  <c r="CW46" i="21" s="1"/>
  <c r="CX46" i="21" s="1"/>
  <c r="CY46" i="21"/>
  <c r="CZ46" i="21"/>
  <c r="DA46" i="21"/>
  <c r="DB46" i="21" s="1"/>
  <c r="CU47" i="21"/>
  <c r="CV47" i="21"/>
  <c r="CW47" i="21"/>
  <c r="CX47" i="21" s="1"/>
  <c r="CY47" i="21"/>
  <c r="CZ47" i="21"/>
  <c r="DA47" i="21" s="1"/>
  <c r="DB47" i="21" s="1"/>
  <c r="CU48" i="21"/>
  <c r="CW48" i="21" s="1"/>
  <c r="CX48" i="21" s="1"/>
  <c r="CV48" i="21"/>
  <c r="CY48" i="21"/>
  <c r="CZ48" i="21"/>
  <c r="DA48" i="21" s="1"/>
  <c r="DB48" i="21" s="1"/>
  <c r="CU49" i="21"/>
  <c r="CV49" i="21"/>
  <c r="CW49" i="21" s="1"/>
  <c r="CX49" i="21" s="1"/>
  <c r="CY49" i="21"/>
  <c r="CZ49" i="21"/>
  <c r="DA49" i="21" s="1"/>
  <c r="DB49" i="21" s="1"/>
  <c r="CU50" i="21"/>
  <c r="CV50" i="21"/>
  <c r="CW50" i="21" s="1"/>
  <c r="CX50" i="21" s="1"/>
  <c r="CY50" i="21"/>
  <c r="CZ50" i="21"/>
  <c r="DA50" i="21" s="1"/>
  <c r="DB50" i="21" s="1"/>
  <c r="CU51" i="21"/>
  <c r="CV51" i="21"/>
  <c r="CW51" i="21"/>
  <c r="CX51" i="21" s="1"/>
  <c r="CY51" i="21"/>
  <c r="CZ51" i="21"/>
  <c r="DA51" i="21" s="1"/>
  <c r="DB51" i="21" s="1"/>
  <c r="CU52" i="21"/>
  <c r="CW52" i="21" s="1"/>
  <c r="CX52" i="21" s="1"/>
  <c r="CV52" i="21"/>
  <c r="CY52" i="21"/>
  <c r="CZ52" i="21"/>
  <c r="DA52" i="21" s="1"/>
  <c r="DB52" i="21" s="1"/>
  <c r="CU53" i="21"/>
  <c r="CV53" i="21"/>
  <c r="CW53" i="21" s="1"/>
  <c r="CX53" i="21" s="1"/>
  <c r="CY53" i="21"/>
  <c r="CZ53" i="21"/>
  <c r="DA53" i="21" s="1"/>
  <c r="DB53" i="21" s="1"/>
  <c r="CU54" i="21"/>
  <c r="CV54" i="21"/>
  <c r="CW54" i="21" s="1"/>
  <c r="CX54" i="21" s="1"/>
  <c r="CY54" i="21"/>
  <c r="CZ54" i="21"/>
  <c r="DA54" i="21" s="1"/>
  <c r="DB54" i="21" s="1"/>
  <c r="CU55" i="21"/>
  <c r="CV55" i="21"/>
  <c r="CW55" i="21" s="1"/>
  <c r="CX55" i="21" s="1"/>
  <c r="CY55" i="21"/>
  <c r="CZ55" i="21"/>
  <c r="DA55" i="21" s="1"/>
  <c r="DB55" i="21" s="1"/>
  <c r="CU56" i="21"/>
  <c r="CW56" i="21" s="1"/>
  <c r="CX56" i="21" s="1"/>
  <c r="CV56" i="21"/>
  <c r="CY56" i="21"/>
  <c r="CZ56" i="21"/>
  <c r="DA56" i="21" s="1"/>
  <c r="DB56" i="21" s="1"/>
  <c r="CU57" i="21"/>
  <c r="CV57" i="21"/>
  <c r="CW57" i="21" s="1"/>
  <c r="CX57" i="21" s="1"/>
  <c r="CY57" i="21"/>
  <c r="CZ57" i="21"/>
  <c r="DA57" i="21" s="1"/>
  <c r="DB57" i="21" s="1"/>
  <c r="CY8" i="21"/>
  <c r="CU8" i="21"/>
  <c r="CZ8" i="21"/>
  <c r="CV8" i="21"/>
  <c r="CL9" i="21"/>
  <c r="CM9" i="21"/>
  <c r="CN9" i="21" s="1"/>
  <c r="CO9" i="21" s="1"/>
  <c r="CP9" i="21"/>
  <c r="CQ9" i="21"/>
  <c r="CR9" i="21" s="1"/>
  <c r="CS9" i="21" s="1"/>
  <c r="CL10" i="21"/>
  <c r="CM10" i="21"/>
  <c r="CP10" i="21"/>
  <c r="CQ10" i="21"/>
  <c r="CL11" i="21"/>
  <c r="CN11" i="21" s="1"/>
  <c r="CO11" i="21" s="1"/>
  <c r="CM11" i="21"/>
  <c r="CP11" i="21"/>
  <c r="CQ11" i="21"/>
  <c r="CR11" i="21" s="1"/>
  <c r="CS11" i="21" s="1"/>
  <c r="CL12" i="21"/>
  <c r="CM12" i="21"/>
  <c r="CN12" i="21" s="1"/>
  <c r="CO12" i="21" s="1"/>
  <c r="CP12" i="21"/>
  <c r="CQ12" i="21"/>
  <c r="CR12" i="21" s="1"/>
  <c r="CS12" i="21" s="1"/>
  <c r="CL13" i="21"/>
  <c r="CM13" i="21"/>
  <c r="CP13" i="21"/>
  <c r="CQ13" i="21"/>
  <c r="CL14" i="21"/>
  <c r="CM14" i="21"/>
  <c r="CP14" i="21"/>
  <c r="CQ14" i="21"/>
  <c r="CL15" i="21"/>
  <c r="CN15" i="21" s="1"/>
  <c r="CO15" i="21" s="1"/>
  <c r="CM15" i="21"/>
  <c r="CP15" i="21"/>
  <c r="CQ15" i="21"/>
  <c r="CR15" i="21" s="1"/>
  <c r="CS15" i="21" s="1"/>
  <c r="CL16" i="21"/>
  <c r="CM16" i="21"/>
  <c r="CN16" i="21" s="1"/>
  <c r="CO16" i="21" s="1"/>
  <c r="CP16" i="21"/>
  <c r="CQ16" i="21"/>
  <c r="CR16" i="21" s="1"/>
  <c r="CS16" i="21" s="1"/>
  <c r="CL17" i="21"/>
  <c r="CM17" i="21"/>
  <c r="CN17" i="21"/>
  <c r="CO17" i="21" s="1"/>
  <c r="CP17" i="21"/>
  <c r="CQ17" i="21"/>
  <c r="CR17" i="21" s="1"/>
  <c r="CS17" i="21" s="1"/>
  <c r="CL18" i="21"/>
  <c r="CM18" i="21"/>
  <c r="CN18" i="21"/>
  <c r="CO18" i="21" s="1"/>
  <c r="CP18" i="21"/>
  <c r="CQ18" i="21"/>
  <c r="CR18" i="21" s="1"/>
  <c r="CS18" i="21" s="1"/>
  <c r="CL19" i="21"/>
  <c r="CN19" i="21" s="1"/>
  <c r="CO19" i="21" s="1"/>
  <c r="CM19" i="21"/>
  <c r="CP19" i="21"/>
  <c r="CQ19" i="21"/>
  <c r="CR19" i="21" s="1"/>
  <c r="CS19" i="21" s="1"/>
  <c r="CL20" i="21"/>
  <c r="CM20" i="21"/>
  <c r="CN20" i="21" s="1"/>
  <c r="CO20" i="21" s="1"/>
  <c r="CP20" i="21"/>
  <c r="CQ20" i="21"/>
  <c r="CR20" i="21" s="1"/>
  <c r="CS20" i="21" s="1"/>
  <c r="CL21" i="21"/>
  <c r="CM21" i="21"/>
  <c r="CN21" i="21"/>
  <c r="CO21" i="21" s="1"/>
  <c r="CP21" i="21"/>
  <c r="CQ21" i="21"/>
  <c r="CR21" i="21" s="1"/>
  <c r="CS21" i="21" s="1"/>
  <c r="CL22" i="21"/>
  <c r="CM22" i="21"/>
  <c r="CN22" i="21" s="1"/>
  <c r="CO22" i="21" s="1"/>
  <c r="CP22" i="21"/>
  <c r="CQ22" i="21"/>
  <c r="CR22" i="21" s="1"/>
  <c r="CS22" i="21" s="1"/>
  <c r="CL23" i="21"/>
  <c r="CM23" i="21"/>
  <c r="CP23" i="21"/>
  <c r="CQ23" i="21"/>
  <c r="CR23" i="21" s="1"/>
  <c r="CS23" i="21" s="1"/>
  <c r="CL24" i="21"/>
  <c r="CM24" i="21"/>
  <c r="CN24" i="21" s="1"/>
  <c r="CO24" i="21" s="1"/>
  <c r="CP24" i="21"/>
  <c r="CQ24" i="21"/>
  <c r="CR24" i="21"/>
  <c r="CS24" i="21" s="1"/>
  <c r="CL25" i="21"/>
  <c r="CM25" i="21"/>
  <c r="CN25" i="21" s="1"/>
  <c r="CO25" i="21" s="1"/>
  <c r="CP25" i="21"/>
  <c r="CQ25" i="21"/>
  <c r="CR25" i="21"/>
  <c r="CS25" i="21" s="1"/>
  <c r="CL26" i="21"/>
  <c r="CM26" i="21"/>
  <c r="CN26" i="21"/>
  <c r="CO26" i="21" s="1"/>
  <c r="CP26" i="21"/>
  <c r="CQ26" i="21"/>
  <c r="CR26" i="21" s="1"/>
  <c r="CS26" i="21" s="1"/>
  <c r="CL27" i="21"/>
  <c r="CN27" i="21" s="1"/>
  <c r="CO27" i="21" s="1"/>
  <c r="CM27" i="21"/>
  <c r="CP27" i="21"/>
  <c r="CQ27" i="21"/>
  <c r="CR27" i="21" s="1"/>
  <c r="CS27" i="21" s="1"/>
  <c r="CL28" i="21"/>
  <c r="CM28" i="21"/>
  <c r="CN28" i="21" s="1"/>
  <c r="CO28" i="21" s="1"/>
  <c r="CP28" i="21"/>
  <c r="CQ28" i="21"/>
  <c r="CR28" i="21" s="1"/>
  <c r="CS28" i="21" s="1"/>
  <c r="CL29" i="21"/>
  <c r="CM29" i="21"/>
  <c r="CN29" i="21" s="1"/>
  <c r="CO29" i="21" s="1"/>
  <c r="CP29" i="21"/>
  <c r="CQ29" i="21"/>
  <c r="CR29" i="21"/>
  <c r="CS29" i="21" s="1"/>
  <c r="CL30" i="21"/>
  <c r="CM30" i="21"/>
  <c r="CN30" i="21"/>
  <c r="CO30" i="21" s="1"/>
  <c r="CP30" i="21"/>
  <c r="CQ30" i="21"/>
  <c r="CR30" i="21" s="1"/>
  <c r="CS30" i="21" s="1"/>
  <c r="CL31" i="21"/>
  <c r="CM31" i="21"/>
  <c r="CP31" i="21"/>
  <c r="CQ31" i="21"/>
  <c r="CR31" i="21" s="1"/>
  <c r="CS31" i="21" s="1"/>
  <c r="CL32" i="21"/>
  <c r="CM32" i="21"/>
  <c r="CN32" i="21" s="1"/>
  <c r="CO32" i="21" s="1"/>
  <c r="CP32" i="21"/>
  <c r="CQ32" i="21"/>
  <c r="CR32" i="21" s="1"/>
  <c r="CS32" i="21" s="1"/>
  <c r="CL33" i="21"/>
  <c r="CM33" i="21"/>
  <c r="CN33" i="21"/>
  <c r="CO33" i="21" s="1"/>
  <c r="CP33" i="21"/>
  <c r="CQ33" i="21"/>
  <c r="CR33" i="21" s="1"/>
  <c r="CS33" i="21" s="1"/>
  <c r="CL34" i="21"/>
  <c r="CM34" i="21"/>
  <c r="CN34" i="21" s="1"/>
  <c r="CO34" i="21" s="1"/>
  <c r="CP34" i="21"/>
  <c r="CQ34" i="21"/>
  <c r="CR34" i="21" s="1"/>
  <c r="CS34" i="21" s="1"/>
  <c r="CL35" i="21"/>
  <c r="CM35" i="21"/>
  <c r="CP35" i="21"/>
  <c r="CQ35" i="21"/>
  <c r="CR35" i="21" s="1"/>
  <c r="CS35" i="21" s="1"/>
  <c r="CL36" i="21"/>
  <c r="CM36" i="21"/>
  <c r="CN36" i="21" s="1"/>
  <c r="CO36" i="21" s="1"/>
  <c r="CP36" i="21"/>
  <c r="CQ36" i="21"/>
  <c r="CR36" i="21"/>
  <c r="CS36" i="21" s="1"/>
  <c r="CL37" i="21"/>
  <c r="CM37" i="21"/>
  <c r="CN37" i="21" s="1"/>
  <c r="CO37" i="21" s="1"/>
  <c r="CP37" i="21"/>
  <c r="CQ37" i="21"/>
  <c r="CR37" i="21" s="1"/>
  <c r="CS37" i="21" s="1"/>
  <c r="CL38" i="21"/>
  <c r="CM38" i="21"/>
  <c r="CN38" i="21"/>
  <c r="CO38" i="21" s="1"/>
  <c r="CP38" i="21"/>
  <c r="CQ38" i="21"/>
  <c r="CR38" i="21" s="1"/>
  <c r="CS38" i="21" s="1"/>
  <c r="CL39" i="21"/>
  <c r="CN39" i="21" s="1"/>
  <c r="CO39" i="21" s="1"/>
  <c r="CM39" i="21"/>
  <c r="CP39" i="21"/>
  <c r="CQ39" i="21"/>
  <c r="CR39" i="21" s="1"/>
  <c r="CS39" i="21" s="1"/>
  <c r="CL40" i="21"/>
  <c r="CM40" i="21"/>
  <c r="CN40" i="21" s="1"/>
  <c r="CO40" i="21" s="1"/>
  <c r="CP40" i="21"/>
  <c r="CQ40" i="21"/>
  <c r="CR40" i="21" s="1"/>
  <c r="CS40" i="21" s="1"/>
  <c r="CL41" i="21"/>
  <c r="CM41" i="21"/>
  <c r="CN41" i="21" s="1"/>
  <c r="CO41" i="21" s="1"/>
  <c r="CP41" i="21"/>
  <c r="CQ41" i="21"/>
  <c r="CR41" i="21"/>
  <c r="CS41" i="21" s="1"/>
  <c r="CL42" i="21"/>
  <c r="CM42" i="21"/>
  <c r="CN42" i="21"/>
  <c r="CO42" i="21" s="1"/>
  <c r="CP42" i="21"/>
  <c r="CQ42" i="21"/>
  <c r="CR42" i="21" s="1"/>
  <c r="CS42" i="21" s="1"/>
  <c r="CL43" i="21"/>
  <c r="CM43" i="21"/>
  <c r="CP43" i="21"/>
  <c r="CQ43" i="21"/>
  <c r="CR43" i="21" s="1"/>
  <c r="CS43" i="21" s="1"/>
  <c r="CL44" i="21"/>
  <c r="CM44" i="21"/>
  <c r="CN44" i="21" s="1"/>
  <c r="CO44" i="21" s="1"/>
  <c r="CP44" i="21"/>
  <c r="CQ44" i="21"/>
  <c r="CR44" i="21" s="1"/>
  <c r="CS44" i="21" s="1"/>
  <c r="CL45" i="21"/>
  <c r="CM45" i="21"/>
  <c r="CN45" i="21"/>
  <c r="CO45" i="21" s="1"/>
  <c r="CP45" i="21"/>
  <c r="CQ45" i="21"/>
  <c r="CR45" i="21" s="1"/>
  <c r="CS45" i="21" s="1"/>
  <c r="CL46" i="21"/>
  <c r="CM46" i="21"/>
  <c r="CN46" i="21" s="1"/>
  <c r="CO46" i="21" s="1"/>
  <c r="CP46" i="21"/>
  <c r="CQ46" i="21"/>
  <c r="CR46" i="21" s="1"/>
  <c r="CS46" i="21" s="1"/>
  <c r="CL47" i="21"/>
  <c r="CM47" i="21"/>
  <c r="CP47" i="21"/>
  <c r="CQ47" i="21"/>
  <c r="CR47" i="21" s="1"/>
  <c r="CS47" i="21" s="1"/>
  <c r="CL48" i="21"/>
  <c r="CM48" i="21"/>
  <c r="CN48" i="21" s="1"/>
  <c r="CO48" i="21" s="1"/>
  <c r="CP48" i="21"/>
  <c r="CQ48" i="21"/>
  <c r="CR48" i="21"/>
  <c r="CS48" i="21" s="1"/>
  <c r="CL49" i="21"/>
  <c r="CM49" i="21"/>
  <c r="CN49" i="21"/>
  <c r="CO49" i="21" s="1"/>
  <c r="CP49" i="21"/>
  <c r="CQ49" i="21"/>
  <c r="CR49" i="21" s="1"/>
  <c r="CS49" i="21" s="1"/>
  <c r="CL50" i="21"/>
  <c r="CM50" i="21"/>
  <c r="CN50" i="21"/>
  <c r="CO50" i="21" s="1"/>
  <c r="CP50" i="21"/>
  <c r="CQ50" i="21"/>
  <c r="CR50" i="21" s="1"/>
  <c r="CS50" i="21" s="1"/>
  <c r="CL51" i="21"/>
  <c r="CN51" i="21" s="1"/>
  <c r="CO51" i="21" s="1"/>
  <c r="CM51" i="21"/>
  <c r="CP51" i="21"/>
  <c r="CQ51" i="21"/>
  <c r="CR51" i="21" s="1"/>
  <c r="CS51" i="21" s="1"/>
  <c r="CL52" i="21"/>
  <c r="CM52" i="21"/>
  <c r="CN52" i="21" s="1"/>
  <c r="CO52" i="21" s="1"/>
  <c r="CP52" i="21"/>
  <c r="CQ52" i="21"/>
  <c r="CR52" i="21" s="1"/>
  <c r="CS52" i="21" s="1"/>
  <c r="CL53" i="21"/>
  <c r="CM53" i="21"/>
  <c r="CN53" i="21" s="1"/>
  <c r="CO53" i="21" s="1"/>
  <c r="CP53" i="21"/>
  <c r="CQ53" i="21"/>
  <c r="CR53" i="21"/>
  <c r="CS53" i="21" s="1"/>
  <c r="CL54" i="21"/>
  <c r="CM54" i="21"/>
  <c r="CN54" i="21"/>
  <c r="CO54" i="21" s="1"/>
  <c r="CP54" i="21"/>
  <c r="CQ54" i="21"/>
  <c r="CR54" i="21" s="1"/>
  <c r="CS54" i="21" s="1"/>
  <c r="CL55" i="21"/>
  <c r="CM55" i="21"/>
  <c r="CP55" i="21"/>
  <c r="CQ55" i="21"/>
  <c r="CR55" i="21" s="1"/>
  <c r="CS55" i="21" s="1"/>
  <c r="CL56" i="21"/>
  <c r="CM56" i="21"/>
  <c r="CN56" i="21" s="1"/>
  <c r="CO56" i="21" s="1"/>
  <c r="CP56" i="21"/>
  <c r="CQ56" i="21"/>
  <c r="CR56" i="21" s="1"/>
  <c r="CS56" i="21" s="1"/>
  <c r="CL57" i="21"/>
  <c r="CM57" i="21"/>
  <c r="CN57" i="21"/>
  <c r="CO57" i="21" s="1"/>
  <c r="CP57" i="21"/>
  <c r="CQ57" i="21"/>
  <c r="CR57" i="21" s="1"/>
  <c r="CS57" i="21" s="1"/>
  <c r="CM8" i="21"/>
  <c r="CP8" i="21"/>
  <c r="CQ8" i="21"/>
  <c r="CL8" i="21"/>
  <c r="UX28" i="2"/>
  <c r="UX27" i="2"/>
  <c r="BU9" i="21"/>
  <c r="BU11" i="21"/>
  <c r="BU12" i="21"/>
  <c r="BU15" i="21"/>
  <c r="BU16" i="21"/>
  <c r="BU17" i="21"/>
  <c r="BU18" i="21"/>
  <c r="BU19" i="21"/>
  <c r="BU20" i="21"/>
  <c r="BU21" i="21"/>
  <c r="BU22" i="21"/>
  <c r="BU23" i="21"/>
  <c r="BU24" i="21"/>
  <c r="BU25" i="21"/>
  <c r="BU26" i="21"/>
  <c r="BU27" i="21"/>
  <c r="BU28" i="21"/>
  <c r="BU29" i="21"/>
  <c r="BU30" i="21"/>
  <c r="BU31" i="21"/>
  <c r="BU32" i="21"/>
  <c r="BU33" i="21"/>
  <c r="BU34" i="21"/>
  <c r="BU35" i="21"/>
  <c r="BU36" i="21"/>
  <c r="BU37" i="21"/>
  <c r="BU38" i="21"/>
  <c r="BU39" i="21"/>
  <c r="BU40" i="21"/>
  <c r="BU41" i="21"/>
  <c r="BU42" i="21"/>
  <c r="BU43" i="21"/>
  <c r="BU44" i="21"/>
  <c r="BU45" i="21"/>
  <c r="BU46" i="21"/>
  <c r="BU47" i="21"/>
  <c r="BU48" i="21"/>
  <c r="BU49" i="21"/>
  <c r="BU50" i="21"/>
  <c r="BU51" i="21"/>
  <c r="BU52" i="21"/>
  <c r="BU53" i="21"/>
  <c r="BU54" i="21"/>
  <c r="BU55" i="21"/>
  <c r="BU56" i="21"/>
  <c r="BU57" i="21"/>
  <c r="BU58" i="21"/>
  <c r="BR9" i="21"/>
  <c r="BR10" i="21"/>
  <c r="BR11" i="21"/>
  <c r="BR12" i="21"/>
  <c r="BR13" i="21"/>
  <c r="BR14" i="21"/>
  <c r="BR15" i="21"/>
  <c r="BR16" i="21"/>
  <c r="BR17" i="21"/>
  <c r="BR18" i="21"/>
  <c r="BR19" i="21"/>
  <c r="BR20" i="21"/>
  <c r="BR21" i="21"/>
  <c r="BR22" i="21"/>
  <c r="BR23" i="21"/>
  <c r="BR24" i="21"/>
  <c r="BR25" i="21"/>
  <c r="BR26" i="21"/>
  <c r="BR27" i="21"/>
  <c r="BR28" i="21"/>
  <c r="BR29" i="21"/>
  <c r="BR30" i="21"/>
  <c r="BR31" i="21"/>
  <c r="BR32" i="21"/>
  <c r="BR33" i="21"/>
  <c r="BR34" i="21"/>
  <c r="BR35" i="21"/>
  <c r="BR36" i="21"/>
  <c r="BR37" i="21"/>
  <c r="BR38" i="21"/>
  <c r="BR39" i="21"/>
  <c r="BR40" i="21"/>
  <c r="BR41" i="21"/>
  <c r="BR42" i="21"/>
  <c r="BR43" i="21"/>
  <c r="BR44" i="21"/>
  <c r="BR45" i="21"/>
  <c r="BR46" i="21"/>
  <c r="BR47" i="21"/>
  <c r="BR48" i="21"/>
  <c r="BR49" i="21"/>
  <c r="BR50" i="21"/>
  <c r="BR51" i="21"/>
  <c r="BR52" i="21"/>
  <c r="BR53" i="21"/>
  <c r="BR54" i="21"/>
  <c r="BR55" i="21"/>
  <c r="BR56" i="21"/>
  <c r="BR57" i="21"/>
  <c r="BR58" i="21"/>
  <c r="BR8" i="21"/>
  <c r="AP9" i="21"/>
  <c r="AP10" i="21"/>
  <c r="AP11" i="21"/>
  <c r="AP12" i="21"/>
  <c r="AP13" i="21"/>
  <c r="AP14" i="21"/>
  <c r="AP15" i="21"/>
  <c r="AP16" i="21"/>
  <c r="AP17" i="21"/>
  <c r="AP18" i="21"/>
  <c r="AP19" i="21"/>
  <c r="AP20" i="21"/>
  <c r="AP21" i="21"/>
  <c r="AP22" i="21"/>
  <c r="AP23" i="21"/>
  <c r="AP24" i="21"/>
  <c r="AP25" i="21"/>
  <c r="AP26" i="21"/>
  <c r="AP27" i="21"/>
  <c r="AP28" i="21"/>
  <c r="AP29" i="21"/>
  <c r="AP30" i="21"/>
  <c r="AP31" i="21"/>
  <c r="AP32" i="21"/>
  <c r="AP33" i="21"/>
  <c r="AP34" i="21"/>
  <c r="AP35" i="21"/>
  <c r="AP36" i="21"/>
  <c r="AP37" i="21"/>
  <c r="AP38" i="21"/>
  <c r="AP39" i="21"/>
  <c r="AP40" i="21"/>
  <c r="AP41" i="21"/>
  <c r="AP42" i="21"/>
  <c r="AP43" i="21"/>
  <c r="AP44" i="21"/>
  <c r="AP45" i="21"/>
  <c r="AP46" i="21"/>
  <c r="AP47" i="21"/>
  <c r="AP48" i="21"/>
  <c r="AP49" i="21"/>
  <c r="AP50" i="21"/>
  <c r="AP51" i="21"/>
  <c r="AP52" i="21"/>
  <c r="AP53" i="21"/>
  <c r="AP54" i="21"/>
  <c r="AP55" i="21"/>
  <c r="AP56" i="21"/>
  <c r="AP57" i="21"/>
  <c r="AP8" i="21"/>
  <c r="AJ9" i="21"/>
  <c r="AK9" i="21"/>
  <c r="AJ10" i="21"/>
  <c r="AK10" i="21"/>
  <c r="AJ11" i="21"/>
  <c r="AK11" i="21"/>
  <c r="AJ12" i="21"/>
  <c r="AK12" i="21"/>
  <c r="AJ13" i="21"/>
  <c r="AK13" i="21"/>
  <c r="AJ14" i="21"/>
  <c r="AK14" i="21"/>
  <c r="AJ15" i="21"/>
  <c r="AK15" i="21"/>
  <c r="AJ16" i="21"/>
  <c r="AK16" i="21"/>
  <c r="AJ17" i="21"/>
  <c r="AK17" i="21"/>
  <c r="AJ18" i="21"/>
  <c r="AK18" i="21"/>
  <c r="AJ19" i="21"/>
  <c r="AK19" i="21"/>
  <c r="AJ20" i="21"/>
  <c r="AK20" i="21"/>
  <c r="AJ21" i="21"/>
  <c r="AK21" i="21"/>
  <c r="AJ22" i="21"/>
  <c r="AK22" i="21"/>
  <c r="AJ23" i="21"/>
  <c r="AK23" i="21"/>
  <c r="AJ24" i="21"/>
  <c r="AK24" i="21"/>
  <c r="AJ25" i="21"/>
  <c r="AK25" i="21"/>
  <c r="AJ26" i="21"/>
  <c r="AK26" i="21"/>
  <c r="AJ27" i="21"/>
  <c r="AK27" i="21"/>
  <c r="AJ28" i="21"/>
  <c r="AK28" i="21"/>
  <c r="AJ29" i="21"/>
  <c r="AK29" i="21"/>
  <c r="AJ30" i="21"/>
  <c r="AK30" i="21"/>
  <c r="AJ31" i="21"/>
  <c r="AK31" i="21"/>
  <c r="AJ32" i="21"/>
  <c r="AK32" i="21"/>
  <c r="AJ33" i="21"/>
  <c r="AK33" i="21"/>
  <c r="AJ34" i="21"/>
  <c r="AK34" i="21"/>
  <c r="AJ35" i="21"/>
  <c r="AK35" i="21"/>
  <c r="AJ36" i="21"/>
  <c r="AK36" i="21"/>
  <c r="AJ37" i="21"/>
  <c r="AK37" i="21"/>
  <c r="AJ38" i="21"/>
  <c r="AK38" i="21"/>
  <c r="AJ39" i="21"/>
  <c r="AK39" i="21"/>
  <c r="AJ40" i="21"/>
  <c r="AK40" i="21"/>
  <c r="AJ41" i="21"/>
  <c r="AK41" i="21"/>
  <c r="AJ42" i="21"/>
  <c r="AK42" i="21"/>
  <c r="AJ43" i="21"/>
  <c r="AK43" i="21"/>
  <c r="AJ44" i="21"/>
  <c r="AK44" i="21"/>
  <c r="AJ45" i="21"/>
  <c r="AK45" i="21"/>
  <c r="AJ46" i="21"/>
  <c r="AK46" i="21"/>
  <c r="AJ47" i="21"/>
  <c r="AK47" i="21"/>
  <c r="AJ48" i="21"/>
  <c r="AK48" i="21"/>
  <c r="AJ49" i="21"/>
  <c r="AK49" i="21"/>
  <c r="AJ50" i="21"/>
  <c r="AK50" i="21"/>
  <c r="AJ51" i="21"/>
  <c r="AK51" i="21"/>
  <c r="AJ52" i="21"/>
  <c r="AK52" i="21"/>
  <c r="AJ53" i="21"/>
  <c r="AK53" i="21"/>
  <c r="AJ54" i="21"/>
  <c r="AK54" i="21"/>
  <c r="AJ55" i="21"/>
  <c r="AK55" i="21"/>
  <c r="AJ56" i="21"/>
  <c r="AK56" i="21"/>
  <c r="AJ57" i="21"/>
  <c r="AK57" i="21"/>
  <c r="AK8" i="21"/>
  <c r="AJ8" i="21"/>
  <c r="VQ36" i="2"/>
  <c r="VO36" i="2"/>
  <c r="VN36" i="2"/>
  <c r="VQ40" i="2"/>
  <c r="VQ39" i="2"/>
  <c r="VQ38" i="2"/>
  <c r="VQ37" i="2"/>
  <c r="VQ35" i="2"/>
  <c r="VQ34" i="2"/>
  <c r="VQ33" i="2"/>
  <c r="VQ32" i="2"/>
  <c r="VQ31" i="2"/>
  <c r="VQ30" i="2"/>
  <c r="VQ29" i="2"/>
  <c r="VQ28" i="2"/>
  <c r="VQ27" i="2"/>
  <c r="VO40" i="2"/>
  <c r="VO39" i="2"/>
  <c r="VO38" i="2"/>
  <c r="VO37" i="2"/>
  <c r="VO35" i="2"/>
  <c r="VO34" i="2"/>
  <c r="VO33" i="2"/>
  <c r="VO32" i="2"/>
  <c r="VO31" i="2"/>
  <c r="VO30" i="2"/>
  <c r="VO29" i="2"/>
  <c r="VO28" i="2"/>
  <c r="VO27" i="2"/>
  <c r="VN40" i="2"/>
  <c r="VN39" i="2"/>
  <c r="VN38" i="2"/>
  <c r="VN37" i="2"/>
  <c r="VN35" i="2"/>
  <c r="VN34" i="2"/>
  <c r="VN33" i="2"/>
  <c r="VN32" i="2"/>
  <c r="VN31" i="2"/>
  <c r="VN30" i="2"/>
  <c r="VN29" i="2"/>
  <c r="VN28" i="2"/>
  <c r="VN27" i="2"/>
  <c r="VP40" i="2"/>
  <c r="VP39" i="2"/>
  <c r="VP38" i="2"/>
  <c r="VP37" i="2"/>
  <c r="VP36" i="2"/>
  <c r="VP35" i="2"/>
  <c r="VP34" i="2"/>
  <c r="VP33" i="2"/>
  <c r="VP32" i="2"/>
  <c r="VP31" i="2"/>
  <c r="VP30" i="2"/>
  <c r="VP29" i="2"/>
  <c r="VP28" i="2"/>
  <c r="VP27" i="2"/>
  <c r="VM40" i="2"/>
  <c r="VM39" i="2"/>
  <c r="VM38" i="2"/>
  <c r="VM37" i="2"/>
  <c r="VM36" i="2"/>
  <c r="VM35" i="2"/>
  <c r="VM34" i="2"/>
  <c r="VM33" i="2"/>
  <c r="VM32" i="2"/>
  <c r="VM31" i="2"/>
  <c r="VM30" i="2"/>
  <c r="VM29" i="2"/>
  <c r="VM28" i="2"/>
  <c r="VM27" i="2"/>
  <c r="BO9" i="21"/>
  <c r="BP9" i="21"/>
  <c r="BQ9" i="21"/>
  <c r="BO10" i="21"/>
  <c r="BP10" i="21"/>
  <c r="BQ10" i="21"/>
  <c r="BO11" i="21"/>
  <c r="BP11" i="21"/>
  <c r="BQ11" i="21"/>
  <c r="BO12" i="21"/>
  <c r="BP12" i="21"/>
  <c r="BQ12" i="21"/>
  <c r="BO13" i="21"/>
  <c r="BP13" i="21"/>
  <c r="BQ13" i="21"/>
  <c r="BO14" i="21"/>
  <c r="BP14" i="21"/>
  <c r="BQ14" i="21"/>
  <c r="BO15" i="21"/>
  <c r="BP15" i="21"/>
  <c r="BQ15" i="21"/>
  <c r="BO16" i="21"/>
  <c r="BP16" i="21"/>
  <c r="BQ16" i="21"/>
  <c r="BO17" i="21"/>
  <c r="BP17" i="21"/>
  <c r="BQ17" i="21"/>
  <c r="BO18" i="21"/>
  <c r="BP18" i="21"/>
  <c r="BQ18" i="21"/>
  <c r="BO19" i="21"/>
  <c r="BP19" i="21"/>
  <c r="BQ19" i="21"/>
  <c r="BO20" i="21"/>
  <c r="BP20" i="21"/>
  <c r="BQ20" i="21"/>
  <c r="BO21" i="21"/>
  <c r="BP21" i="21"/>
  <c r="BQ21" i="21"/>
  <c r="BO22" i="21"/>
  <c r="BP22" i="21"/>
  <c r="BQ22" i="21"/>
  <c r="BO23" i="21"/>
  <c r="BN23" i="21" s="1"/>
  <c r="BP23" i="21"/>
  <c r="BQ23" i="21"/>
  <c r="BO24" i="21"/>
  <c r="BP24" i="21"/>
  <c r="BQ24" i="21"/>
  <c r="BO25" i="21"/>
  <c r="BP25" i="21"/>
  <c r="BQ25" i="21"/>
  <c r="BO26" i="21"/>
  <c r="BP26" i="21"/>
  <c r="BQ26" i="21"/>
  <c r="BO27" i="21"/>
  <c r="BN27" i="21" s="1"/>
  <c r="BP27" i="21"/>
  <c r="BQ27" i="21"/>
  <c r="BO28" i="21"/>
  <c r="BP28" i="21"/>
  <c r="BQ28" i="21"/>
  <c r="BO29" i="21"/>
  <c r="BP29" i="21"/>
  <c r="BQ29" i="21"/>
  <c r="BO30" i="21"/>
  <c r="BP30" i="21"/>
  <c r="BQ30" i="21"/>
  <c r="BO31" i="21"/>
  <c r="BP31" i="21"/>
  <c r="BQ31" i="21"/>
  <c r="BO32" i="21"/>
  <c r="BP32" i="21"/>
  <c r="BQ32" i="21"/>
  <c r="BO33" i="21"/>
  <c r="BP33" i="21"/>
  <c r="BQ33" i="21"/>
  <c r="BO34" i="21"/>
  <c r="BP34" i="21"/>
  <c r="BQ34" i="21"/>
  <c r="BO35" i="21"/>
  <c r="BP35" i="21"/>
  <c r="BQ35" i="21"/>
  <c r="BO36" i="21"/>
  <c r="BP36" i="21"/>
  <c r="BQ36" i="21"/>
  <c r="BO37" i="21"/>
  <c r="BP37" i="21"/>
  <c r="BQ37" i="21"/>
  <c r="BO38" i="21"/>
  <c r="BP38" i="21"/>
  <c r="BQ38" i="21"/>
  <c r="BO39" i="21"/>
  <c r="BP39" i="21"/>
  <c r="BQ39" i="21"/>
  <c r="BO40" i="21"/>
  <c r="BP40" i="21"/>
  <c r="BQ40" i="21"/>
  <c r="BO41" i="21"/>
  <c r="BP41" i="21"/>
  <c r="BQ41" i="21"/>
  <c r="BO42" i="21"/>
  <c r="BP42" i="21"/>
  <c r="BQ42" i="21"/>
  <c r="BO43" i="21"/>
  <c r="BP43" i="21"/>
  <c r="BQ43" i="21"/>
  <c r="BO44" i="21"/>
  <c r="BP44" i="21"/>
  <c r="BQ44" i="21"/>
  <c r="BO45" i="21"/>
  <c r="BP45" i="21"/>
  <c r="BQ45" i="21"/>
  <c r="BO46" i="21"/>
  <c r="BP46" i="21"/>
  <c r="BQ46" i="21"/>
  <c r="BO47" i="21"/>
  <c r="BP47" i="21"/>
  <c r="BQ47" i="21"/>
  <c r="BO48" i="21"/>
  <c r="BP48" i="21"/>
  <c r="BQ48" i="21"/>
  <c r="BO49" i="21"/>
  <c r="BP49" i="21"/>
  <c r="BQ49" i="21"/>
  <c r="BO50" i="21"/>
  <c r="BP50" i="21"/>
  <c r="BQ50" i="21"/>
  <c r="BO51" i="21"/>
  <c r="BP51" i="21"/>
  <c r="BQ51" i="21"/>
  <c r="BO52" i="21"/>
  <c r="BP52" i="21"/>
  <c r="BQ52" i="21"/>
  <c r="BO53" i="21"/>
  <c r="BP53" i="21"/>
  <c r="BQ53" i="21"/>
  <c r="BO54" i="21"/>
  <c r="BP54" i="21"/>
  <c r="BQ54" i="21"/>
  <c r="BO55" i="21"/>
  <c r="BP55" i="21"/>
  <c r="BQ55" i="21"/>
  <c r="BO56" i="21"/>
  <c r="BP56" i="21"/>
  <c r="BQ56" i="21"/>
  <c r="BO57" i="21"/>
  <c r="BP57" i="21"/>
  <c r="BQ57" i="21"/>
  <c r="BO58" i="21"/>
  <c r="BP58" i="21"/>
  <c r="BQ58" i="21"/>
  <c r="BQ8" i="21"/>
  <c r="BP8" i="21"/>
  <c r="CC9" i="21"/>
  <c r="W9" i="21" s="1"/>
  <c r="CE9" i="21"/>
  <c r="CG9" i="21"/>
  <c r="CC10" i="21"/>
  <c r="W10" i="21" s="1"/>
  <c r="CD10" i="21"/>
  <c r="CE10" i="21"/>
  <c r="CF10" i="21"/>
  <c r="CG10" i="21"/>
  <c r="CC11" i="21"/>
  <c r="W11" i="21" s="1"/>
  <c r="CD11" i="21"/>
  <c r="CE11" i="21"/>
  <c r="CF11" i="21"/>
  <c r="CG11" i="21"/>
  <c r="CC12" i="21"/>
  <c r="W12" i="21" s="1"/>
  <c r="CD12" i="21"/>
  <c r="CE12" i="21"/>
  <c r="CF12" i="21"/>
  <c r="CG12" i="21"/>
  <c r="CC13" i="21"/>
  <c r="W13" i="21" s="1"/>
  <c r="CD13" i="21"/>
  <c r="CE13" i="21"/>
  <c r="CF13" i="21"/>
  <c r="CG13" i="21"/>
  <c r="CC14" i="21"/>
  <c r="W14" i="21" s="1"/>
  <c r="CD14" i="21"/>
  <c r="CE14" i="21"/>
  <c r="CF14" i="21"/>
  <c r="CG14" i="21"/>
  <c r="CC15" i="21"/>
  <c r="W15" i="21" s="1"/>
  <c r="CD15" i="21"/>
  <c r="CE15" i="21"/>
  <c r="CF15" i="21"/>
  <c r="CG15" i="21"/>
  <c r="CC16" i="21"/>
  <c r="W16" i="21" s="1"/>
  <c r="CD16" i="21"/>
  <c r="CE16" i="21"/>
  <c r="CF16" i="21"/>
  <c r="CG16" i="21"/>
  <c r="CC17" i="21"/>
  <c r="W17" i="21" s="1"/>
  <c r="CD17" i="21"/>
  <c r="CE17" i="21"/>
  <c r="CF17" i="21"/>
  <c r="CG17" i="21"/>
  <c r="CC18" i="21"/>
  <c r="W18" i="21" s="1"/>
  <c r="CD18" i="21"/>
  <c r="CE18" i="21"/>
  <c r="CF18" i="21"/>
  <c r="CG18" i="21"/>
  <c r="CC19" i="21"/>
  <c r="W19" i="21" s="1"/>
  <c r="CD19" i="21"/>
  <c r="CE19" i="21"/>
  <c r="CF19" i="21"/>
  <c r="CG19" i="21"/>
  <c r="CC20" i="21"/>
  <c r="W20" i="21" s="1"/>
  <c r="CD20" i="21"/>
  <c r="CE20" i="21"/>
  <c r="CF20" i="21"/>
  <c r="CG20" i="21"/>
  <c r="CC21" i="21"/>
  <c r="W21" i="21" s="1"/>
  <c r="CD21" i="21"/>
  <c r="CE21" i="21"/>
  <c r="CF21" i="21"/>
  <c r="CG21" i="21"/>
  <c r="CC22" i="21"/>
  <c r="W22" i="21" s="1"/>
  <c r="CD22" i="21"/>
  <c r="CE22" i="21"/>
  <c r="CF22" i="21"/>
  <c r="CG22" i="21"/>
  <c r="CC23" i="21"/>
  <c r="W23" i="21" s="1"/>
  <c r="CD23" i="21"/>
  <c r="CE23" i="21"/>
  <c r="CF23" i="21"/>
  <c r="CG23" i="21"/>
  <c r="CC24" i="21"/>
  <c r="W24" i="21" s="1"/>
  <c r="CD24" i="21"/>
  <c r="CE24" i="21"/>
  <c r="CF24" i="21"/>
  <c r="CG24" i="21"/>
  <c r="CC25" i="21"/>
  <c r="W25" i="21" s="1"/>
  <c r="CD25" i="21"/>
  <c r="CE25" i="21"/>
  <c r="CF25" i="21"/>
  <c r="CG25" i="21"/>
  <c r="CC26" i="21"/>
  <c r="W26" i="21" s="1"/>
  <c r="CD26" i="21"/>
  <c r="CE26" i="21"/>
  <c r="CF26" i="21"/>
  <c r="CG26" i="21"/>
  <c r="CC27" i="21"/>
  <c r="W27" i="21" s="1"/>
  <c r="CD27" i="21"/>
  <c r="CE27" i="21"/>
  <c r="CF27" i="21"/>
  <c r="CG27" i="21"/>
  <c r="CC28" i="21"/>
  <c r="W28" i="21" s="1"/>
  <c r="CD28" i="21"/>
  <c r="CE28" i="21"/>
  <c r="CF28" i="21"/>
  <c r="CG28" i="21"/>
  <c r="CC29" i="21"/>
  <c r="W29" i="21" s="1"/>
  <c r="CD29" i="21"/>
  <c r="CE29" i="21"/>
  <c r="CF29" i="21"/>
  <c r="CG29" i="21"/>
  <c r="CC30" i="21"/>
  <c r="W30" i="21" s="1"/>
  <c r="CD30" i="21"/>
  <c r="CE30" i="21"/>
  <c r="CF30" i="21"/>
  <c r="CG30" i="21"/>
  <c r="CC31" i="21"/>
  <c r="W31" i="21" s="1"/>
  <c r="CD31" i="21"/>
  <c r="CE31" i="21"/>
  <c r="CF31" i="21"/>
  <c r="CG31" i="21"/>
  <c r="CC32" i="21"/>
  <c r="W32" i="21" s="1"/>
  <c r="CD32" i="21"/>
  <c r="CE32" i="21"/>
  <c r="CF32" i="21"/>
  <c r="CG32" i="21"/>
  <c r="CC33" i="21"/>
  <c r="W33" i="21" s="1"/>
  <c r="CD33" i="21"/>
  <c r="CE33" i="21"/>
  <c r="CF33" i="21"/>
  <c r="CG33" i="21"/>
  <c r="CC34" i="21"/>
  <c r="W34" i="21" s="1"/>
  <c r="CD34" i="21"/>
  <c r="CE34" i="21"/>
  <c r="CF34" i="21"/>
  <c r="CG34" i="21"/>
  <c r="CC35" i="21"/>
  <c r="W35" i="21" s="1"/>
  <c r="CD35" i="21"/>
  <c r="CE35" i="21"/>
  <c r="CF35" i="21"/>
  <c r="CG35" i="21"/>
  <c r="CC36" i="21"/>
  <c r="W36" i="21" s="1"/>
  <c r="CD36" i="21"/>
  <c r="CE36" i="21"/>
  <c r="CF36" i="21"/>
  <c r="CG36" i="21"/>
  <c r="CC37" i="21"/>
  <c r="W37" i="21" s="1"/>
  <c r="CD37" i="21"/>
  <c r="CE37" i="21"/>
  <c r="CF37" i="21"/>
  <c r="CG37" i="21"/>
  <c r="CC38" i="21"/>
  <c r="W38" i="21" s="1"/>
  <c r="CD38" i="21"/>
  <c r="CE38" i="21"/>
  <c r="CF38" i="21"/>
  <c r="CG38" i="21"/>
  <c r="CC39" i="21"/>
  <c r="W39" i="21" s="1"/>
  <c r="CD39" i="21"/>
  <c r="CE39" i="21"/>
  <c r="CF39" i="21"/>
  <c r="CG39" i="21"/>
  <c r="CC40" i="21"/>
  <c r="W40" i="21" s="1"/>
  <c r="CD40" i="21"/>
  <c r="CE40" i="21"/>
  <c r="CF40" i="21"/>
  <c r="CG40" i="21"/>
  <c r="CC41" i="21"/>
  <c r="W41" i="21" s="1"/>
  <c r="CD41" i="21"/>
  <c r="CE41" i="21"/>
  <c r="CF41" i="21"/>
  <c r="CG41" i="21"/>
  <c r="CC42" i="21"/>
  <c r="W42" i="21" s="1"/>
  <c r="CD42" i="21"/>
  <c r="CE42" i="21"/>
  <c r="CF42" i="21"/>
  <c r="CG42" i="21"/>
  <c r="CC43" i="21"/>
  <c r="W43" i="21" s="1"/>
  <c r="CD43" i="21"/>
  <c r="CE43" i="21"/>
  <c r="CF43" i="21"/>
  <c r="CG43" i="21"/>
  <c r="CC44" i="21"/>
  <c r="W44" i="21" s="1"/>
  <c r="CD44" i="21"/>
  <c r="CE44" i="21"/>
  <c r="CF44" i="21"/>
  <c r="CG44" i="21"/>
  <c r="CC45" i="21"/>
  <c r="W45" i="21" s="1"/>
  <c r="CD45" i="21"/>
  <c r="CE45" i="21"/>
  <c r="CF45" i="21"/>
  <c r="CG45" i="21"/>
  <c r="CC46" i="21"/>
  <c r="W46" i="21" s="1"/>
  <c r="CD46" i="21"/>
  <c r="CE46" i="21"/>
  <c r="CF46" i="21"/>
  <c r="CG46" i="21"/>
  <c r="CC47" i="21"/>
  <c r="W47" i="21" s="1"/>
  <c r="CD47" i="21"/>
  <c r="CE47" i="21"/>
  <c r="CF47" i="21"/>
  <c r="CG47" i="21"/>
  <c r="CC48" i="21"/>
  <c r="W48" i="21" s="1"/>
  <c r="CD48" i="21"/>
  <c r="CE48" i="21"/>
  <c r="CF48" i="21"/>
  <c r="CG48" i="21"/>
  <c r="CC49" i="21"/>
  <c r="W49" i="21" s="1"/>
  <c r="CD49" i="21"/>
  <c r="CE49" i="21"/>
  <c r="CF49" i="21"/>
  <c r="CG49" i="21"/>
  <c r="CC50" i="21"/>
  <c r="W50" i="21" s="1"/>
  <c r="CD50" i="21"/>
  <c r="CE50" i="21"/>
  <c r="CF50" i="21"/>
  <c r="CG50" i="21"/>
  <c r="CC51" i="21"/>
  <c r="W51" i="21" s="1"/>
  <c r="CD51" i="21"/>
  <c r="CE51" i="21"/>
  <c r="CF51" i="21"/>
  <c r="CG51" i="21"/>
  <c r="CC52" i="21"/>
  <c r="W52" i="21" s="1"/>
  <c r="CD52" i="21"/>
  <c r="CE52" i="21"/>
  <c r="CF52" i="21"/>
  <c r="CG52" i="21"/>
  <c r="CC53" i="21"/>
  <c r="W53" i="21" s="1"/>
  <c r="CD53" i="21"/>
  <c r="CE53" i="21"/>
  <c r="CF53" i="21"/>
  <c r="CG53" i="21"/>
  <c r="CC54" i="21"/>
  <c r="W54" i="21" s="1"/>
  <c r="CD54" i="21"/>
  <c r="CE54" i="21"/>
  <c r="CF54" i="21"/>
  <c r="CG54" i="21"/>
  <c r="CC55" i="21"/>
  <c r="W55" i="21" s="1"/>
  <c r="CD55" i="21"/>
  <c r="CE55" i="21"/>
  <c r="CF55" i="21"/>
  <c r="CG55" i="21"/>
  <c r="CC56" i="21"/>
  <c r="W56" i="21" s="1"/>
  <c r="CD56" i="21"/>
  <c r="CE56" i="21"/>
  <c r="CF56" i="21"/>
  <c r="CG56" i="21"/>
  <c r="CC57" i="21"/>
  <c r="W57" i="21" s="1"/>
  <c r="CD57" i="21"/>
  <c r="CE57" i="21"/>
  <c r="CF57" i="21"/>
  <c r="CG57" i="21"/>
  <c r="CE8" i="21"/>
  <c r="CC8" i="21"/>
  <c r="CD8" i="21" s="1"/>
  <c r="CB10" i="21"/>
  <c r="CB11" i="21"/>
  <c r="CB12" i="21"/>
  <c r="CB13" i="21"/>
  <c r="CB14" i="21"/>
  <c r="CB15" i="21"/>
  <c r="CB16" i="21"/>
  <c r="CB17" i="21"/>
  <c r="CB18" i="21"/>
  <c r="CB19" i="21"/>
  <c r="CB20" i="21"/>
  <c r="CB21" i="21"/>
  <c r="CB22" i="21"/>
  <c r="CB23" i="21"/>
  <c r="CB24" i="21"/>
  <c r="CB25" i="21"/>
  <c r="CB26" i="21"/>
  <c r="CB27" i="21"/>
  <c r="CB28" i="21"/>
  <c r="CB29" i="21"/>
  <c r="CB30" i="21"/>
  <c r="CB31" i="21"/>
  <c r="CB32" i="21"/>
  <c r="CB33" i="21"/>
  <c r="CB34" i="21"/>
  <c r="CB35" i="21"/>
  <c r="CB36" i="21"/>
  <c r="CB37" i="21"/>
  <c r="CB38" i="21"/>
  <c r="CB39" i="21"/>
  <c r="CB40" i="21"/>
  <c r="CB41" i="21"/>
  <c r="CB42" i="21"/>
  <c r="CB43" i="21"/>
  <c r="CB44" i="21"/>
  <c r="CB45" i="21"/>
  <c r="CB46" i="21"/>
  <c r="CB47" i="21"/>
  <c r="CB48" i="21"/>
  <c r="CB49" i="21"/>
  <c r="CB50" i="21"/>
  <c r="CB51" i="21"/>
  <c r="CB52" i="21"/>
  <c r="CB53" i="21"/>
  <c r="CB54" i="21"/>
  <c r="CB55" i="21"/>
  <c r="CB56" i="21"/>
  <c r="CB57" i="21"/>
  <c r="BY10" i="21"/>
  <c r="CB8" i="21" s="1"/>
  <c r="BY9" i="21"/>
  <c r="CB9" i="21" s="1"/>
  <c r="BY11" i="21"/>
  <c r="BY8" i="21"/>
  <c r="AU9" i="21"/>
  <c r="AU10" i="21"/>
  <c r="AU11" i="21"/>
  <c r="AU12" i="21"/>
  <c r="AU13" i="21"/>
  <c r="AU14" i="21"/>
  <c r="AU15" i="21"/>
  <c r="AU16" i="21"/>
  <c r="AU17" i="21"/>
  <c r="AU18" i="21"/>
  <c r="AU19" i="21"/>
  <c r="AU20" i="21"/>
  <c r="AU21" i="21"/>
  <c r="AU22" i="21"/>
  <c r="AU23" i="21"/>
  <c r="AU24" i="21"/>
  <c r="AU25" i="21"/>
  <c r="AU26" i="21"/>
  <c r="AU27" i="21"/>
  <c r="AU28" i="21"/>
  <c r="AU29" i="21"/>
  <c r="AU30" i="21"/>
  <c r="AU31" i="21"/>
  <c r="AU32" i="21"/>
  <c r="AU33" i="21"/>
  <c r="AU34" i="21"/>
  <c r="AU35" i="21"/>
  <c r="AU36" i="21"/>
  <c r="AU37" i="21"/>
  <c r="AU38" i="21"/>
  <c r="AU39" i="21"/>
  <c r="AU40" i="21"/>
  <c r="AU41" i="21"/>
  <c r="AU42" i="21"/>
  <c r="AU43" i="21"/>
  <c r="AU44" i="21"/>
  <c r="AU45" i="21"/>
  <c r="AU46" i="21"/>
  <c r="AU47" i="21"/>
  <c r="AU48" i="21"/>
  <c r="AU49" i="21"/>
  <c r="AU50" i="21"/>
  <c r="AU51" i="21"/>
  <c r="AU52" i="21"/>
  <c r="AU53" i="21"/>
  <c r="AU54" i="21"/>
  <c r="AU55" i="21"/>
  <c r="AU56" i="21"/>
  <c r="AU57" i="21"/>
  <c r="AU8" i="21"/>
  <c r="BA9" i="21"/>
  <c r="BA10" i="21"/>
  <c r="BA11" i="21"/>
  <c r="BA12" i="21"/>
  <c r="BA13" i="21"/>
  <c r="BA14" i="21"/>
  <c r="BA15" i="21"/>
  <c r="BA16" i="21"/>
  <c r="BA17" i="21"/>
  <c r="BA18" i="21"/>
  <c r="BA19" i="21"/>
  <c r="BA20" i="21"/>
  <c r="BA21" i="21"/>
  <c r="BA22" i="21"/>
  <c r="BA23" i="21"/>
  <c r="BA24" i="21"/>
  <c r="BA25" i="21"/>
  <c r="BA26" i="21"/>
  <c r="BA27" i="21"/>
  <c r="BA28" i="21"/>
  <c r="BA29" i="21"/>
  <c r="BA30" i="21"/>
  <c r="BA31" i="21"/>
  <c r="BA32" i="21"/>
  <c r="BA33" i="21"/>
  <c r="BA34" i="21"/>
  <c r="BA35" i="21"/>
  <c r="BA36" i="21"/>
  <c r="BA37" i="21"/>
  <c r="BA38" i="21"/>
  <c r="BA39" i="21"/>
  <c r="BA40" i="21"/>
  <c r="BA41" i="21"/>
  <c r="BA42" i="21"/>
  <c r="BA43" i="21"/>
  <c r="BA44" i="21"/>
  <c r="BA45" i="21"/>
  <c r="BA46" i="21"/>
  <c r="BA47" i="21"/>
  <c r="BA48" i="21"/>
  <c r="BA49" i="21"/>
  <c r="BA50" i="21"/>
  <c r="BA51" i="21"/>
  <c r="BA52" i="21"/>
  <c r="BA53" i="21"/>
  <c r="BA54" i="21"/>
  <c r="BA55" i="21"/>
  <c r="BA56" i="21"/>
  <c r="BA57" i="21"/>
  <c r="BA8" i="21"/>
  <c r="DH9" i="23"/>
  <c r="DH10" i="23"/>
  <c r="DH11" i="23"/>
  <c r="DH12" i="23"/>
  <c r="DH13" i="23"/>
  <c r="DH14" i="23"/>
  <c r="DH15" i="23"/>
  <c r="DH16" i="23"/>
  <c r="DH17" i="23"/>
  <c r="DH18" i="23"/>
  <c r="DH19" i="23"/>
  <c r="DH20" i="23"/>
  <c r="DH21" i="23"/>
  <c r="DH22" i="23"/>
  <c r="DH23" i="23"/>
  <c r="DH24" i="23"/>
  <c r="DH25" i="23"/>
  <c r="DH26" i="23"/>
  <c r="DH27" i="23"/>
  <c r="DH28" i="23"/>
  <c r="DH29" i="23"/>
  <c r="DH30" i="23"/>
  <c r="DH31" i="23"/>
  <c r="DH32" i="23"/>
  <c r="DH33" i="23"/>
  <c r="DH34" i="23"/>
  <c r="DH35" i="23"/>
  <c r="DH36" i="23"/>
  <c r="DH37" i="23"/>
  <c r="DH38" i="23"/>
  <c r="DH39" i="23"/>
  <c r="DH40" i="23"/>
  <c r="DH41" i="23"/>
  <c r="DH42" i="23"/>
  <c r="DH43" i="23"/>
  <c r="DH44" i="23"/>
  <c r="DH45" i="23"/>
  <c r="DH46" i="23"/>
  <c r="DH47" i="23"/>
  <c r="DH48" i="23"/>
  <c r="DH49" i="23"/>
  <c r="DH50" i="23"/>
  <c r="DH51" i="23"/>
  <c r="DH52" i="23"/>
  <c r="DH53" i="23"/>
  <c r="DH54" i="23"/>
  <c r="DH55" i="23"/>
  <c r="DH56" i="23"/>
  <c r="DH57" i="23"/>
  <c r="DH8" i="23"/>
  <c r="BA9" i="23"/>
  <c r="BA10" i="23"/>
  <c r="BA11" i="23"/>
  <c r="BA12" i="23"/>
  <c r="BA13" i="23"/>
  <c r="BA14" i="23"/>
  <c r="BA15" i="23"/>
  <c r="BA16" i="23"/>
  <c r="BA17" i="23"/>
  <c r="BA18" i="23"/>
  <c r="BA19" i="23"/>
  <c r="BA20" i="23"/>
  <c r="BA21" i="23"/>
  <c r="BA22" i="23"/>
  <c r="BA23" i="23"/>
  <c r="BA24" i="23"/>
  <c r="BA25" i="23"/>
  <c r="BA26" i="23"/>
  <c r="BA27" i="23"/>
  <c r="BA28" i="23"/>
  <c r="BA29" i="23"/>
  <c r="BA30" i="23"/>
  <c r="BA31" i="23"/>
  <c r="BA32" i="23"/>
  <c r="BA33" i="23"/>
  <c r="BA34" i="23"/>
  <c r="BA35" i="23"/>
  <c r="BA36" i="23"/>
  <c r="BA37" i="23"/>
  <c r="BA38" i="23"/>
  <c r="BA39" i="23"/>
  <c r="BA40" i="23"/>
  <c r="BA41" i="23"/>
  <c r="BA42" i="23"/>
  <c r="BA43" i="23"/>
  <c r="BA44" i="23"/>
  <c r="BA45" i="23"/>
  <c r="BA46" i="23"/>
  <c r="BA47" i="23"/>
  <c r="BA48" i="23"/>
  <c r="BA49" i="23"/>
  <c r="BA50" i="23"/>
  <c r="BA51" i="23"/>
  <c r="BA52" i="23"/>
  <c r="BA53" i="23"/>
  <c r="BA54" i="23"/>
  <c r="BA55" i="23"/>
  <c r="BA56" i="23"/>
  <c r="BA57" i="23"/>
  <c r="BA8" i="23"/>
  <c r="ET9" i="23"/>
  <c r="EU9" i="23"/>
  <c r="ET10" i="23"/>
  <c r="EU10" i="23"/>
  <c r="ET11" i="23"/>
  <c r="EU11" i="23"/>
  <c r="ET12" i="23"/>
  <c r="EU12" i="23"/>
  <c r="ET13" i="23"/>
  <c r="EU13" i="23"/>
  <c r="ET14" i="23"/>
  <c r="EU14" i="23"/>
  <c r="EV14" i="23" s="1"/>
  <c r="ET15" i="23"/>
  <c r="EU15" i="23"/>
  <c r="ET16" i="23"/>
  <c r="EU16" i="23"/>
  <c r="ET17" i="23"/>
  <c r="EU17" i="23"/>
  <c r="ET18" i="23"/>
  <c r="EU18" i="23"/>
  <c r="ET19" i="23"/>
  <c r="EU19" i="23"/>
  <c r="ET20" i="23"/>
  <c r="EU20" i="23"/>
  <c r="EV20" i="23" s="1"/>
  <c r="ET21" i="23"/>
  <c r="EU21" i="23"/>
  <c r="ET22" i="23"/>
  <c r="EU22" i="23"/>
  <c r="ET23" i="23"/>
  <c r="EU23" i="23"/>
  <c r="ET24" i="23"/>
  <c r="EU24" i="23"/>
  <c r="ET25" i="23"/>
  <c r="EU25" i="23"/>
  <c r="ET26" i="23"/>
  <c r="EU26" i="23"/>
  <c r="EV26" i="23" s="1"/>
  <c r="ET27" i="23"/>
  <c r="EU27" i="23"/>
  <c r="ET28" i="23"/>
  <c r="EU28" i="23"/>
  <c r="ET29" i="23"/>
  <c r="EU29" i="23"/>
  <c r="ET30" i="23"/>
  <c r="EU30" i="23"/>
  <c r="ET31" i="23"/>
  <c r="EU31" i="23"/>
  <c r="EV31" i="23" s="1"/>
  <c r="ET32" i="23"/>
  <c r="EU32" i="23"/>
  <c r="EV32" i="23" s="1"/>
  <c r="ET33" i="23"/>
  <c r="EU33" i="23"/>
  <c r="ET34" i="23"/>
  <c r="EU34" i="23"/>
  <c r="ET35" i="23"/>
  <c r="EU35" i="23"/>
  <c r="ET36" i="23"/>
  <c r="EU36" i="23"/>
  <c r="ET37" i="23"/>
  <c r="EU37" i="23"/>
  <c r="ET38" i="23"/>
  <c r="EU38" i="23"/>
  <c r="EV38" i="23" s="1"/>
  <c r="ET39" i="23"/>
  <c r="EU39" i="23"/>
  <c r="ET40" i="23"/>
  <c r="EU40" i="23"/>
  <c r="ET41" i="23"/>
  <c r="EU41" i="23"/>
  <c r="ET42" i="23"/>
  <c r="EU42" i="23"/>
  <c r="ET43" i="23"/>
  <c r="EU43" i="23"/>
  <c r="EV43" i="23" s="1"/>
  <c r="ET44" i="23"/>
  <c r="EU44" i="23"/>
  <c r="EV44" i="23" s="1"/>
  <c r="ET45" i="23"/>
  <c r="EU45" i="23"/>
  <c r="ET46" i="23"/>
  <c r="EU46" i="23"/>
  <c r="ET47" i="23"/>
  <c r="EU47" i="23"/>
  <c r="ET48" i="23"/>
  <c r="EU48" i="23"/>
  <c r="ET49" i="23"/>
  <c r="EU49" i="23"/>
  <c r="ET50" i="23"/>
  <c r="EU50" i="23"/>
  <c r="EV50" i="23" s="1"/>
  <c r="ET51" i="23"/>
  <c r="EU51" i="23"/>
  <c r="EV51" i="23" s="1"/>
  <c r="ET52" i="23"/>
  <c r="EU52" i="23"/>
  <c r="ET53" i="23"/>
  <c r="EU53" i="23"/>
  <c r="ET54" i="23"/>
  <c r="EU54" i="23"/>
  <c r="ET55" i="23"/>
  <c r="EU55" i="23"/>
  <c r="EV55" i="23" s="1"/>
  <c r="ET56" i="23"/>
  <c r="EU56" i="23"/>
  <c r="EV56" i="23" s="1"/>
  <c r="ET57" i="23"/>
  <c r="EU57" i="23"/>
  <c r="EV25" i="23"/>
  <c r="EV27" i="23"/>
  <c r="EV28" i="23"/>
  <c r="EV29" i="23"/>
  <c r="EV30" i="23"/>
  <c r="EV33" i="23"/>
  <c r="EV34" i="23"/>
  <c r="EV35" i="23"/>
  <c r="EV36" i="23"/>
  <c r="EV37" i="23"/>
  <c r="EV39" i="23"/>
  <c r="EV40" i="23"/>
  <c r="EV41" i="23"/>
  <c r="EV42" i="23"/>
  <c r="EV45" i="23"/>
  <c r="EV46" i="23"/>
  <c r="EV47" i="23"/>
  <c r="EV48" i="23"/>
  <c r="EV49" i="23"/>
  <c r="EV52" i="23"/>
  <c r="EV53" i="23"/>
  <c r="EV54" i="23"/>
  <c r="EV57" i="23"/>
  <c r="EV13" i="23"/>
  <c r="EV15" i="23"/>
  <c r="EV16" i="23"/>
  <c r="EV17" i="23"/>
  <c r="EV18" i="23"/>
  <c r="EV19" i="23"/>
  <c r="EV21" i="23"/>
  <c r="EV22" i="23"/>
  <c r="EV23" i="23"/>
  <c r="EV24" i="23"/>
  <c r="EV8" i="23"/>
  <c r="EU8" i="23"/>
  <c r="ET8" i="23"/>
  <c r="ER8" i="23"/>
  <c r="EQ8" i="23"/>
  <c r="EP8" i="23"/>
  <c r="EO8" i="23"/>
  <c r="EN8" i="23"/>
  <c r="EM8" i="23"/>
  <c r="EL8" i="23"/>
  <c r="EK8" i="23"/>
  <c r="EJ8" i="23"/>
  <c r="EI8" i="23"/>
  <c r="EH8" i="23"/>
  <c r="EG8" i="23"/>
  <c r="EF8" i="23"/>
  <c r="EE8" i="23"/>
  <c r="ED8" i="23"/>
  <c r="EC8" i="23"/>
  <c r="EB8" i="23"/>
  <c r="EA8" i="23"/>
  <c r="DZ8" i="23"/>
  <c r="DY8" i="23"/>
  <c r="DX8" i="23"/>
  <c r="DW8" i="23"/>
  <c r="DV8" i="23"/>
  <c r="DU8" i="23"/>
  <c r="DT8" i="23"/>
  <c r="DS8" i="23"/>
  <c r="DR8" i="23"/>
  <c r="DQ8" i="23"/>
  <c r="DP8" i="23"/>
  <c r="DO8" i="23"/>
  <c r="DN8" i="23"/>
  <c r="DM8" i="23"/>
  <c r="DL8" i="23"/>
  <c r="DK8" i="23"/>
  <c r="ER9" i="23"/>
  <c r="EQ9" i="23"/>
  <c r="EP9" i="23"/>
  <c r="EO9" i="23"/>
  <c r="ER7" i="23"/>
  <c r="EQ7" i="23"/>
  <c r="EP7" i="23"/>
  <c r="EO7" i="23"/>
  <c r="BZ9" i="23"/>
  <c r="BZ10" i="23"/>
  <c r="BZ11" i="23"/>
  <c r="BZ12" i="23"/>
  <c r="BZ13" i="23"/>
  <c r="BZ14" i="23"/>
  <c r="BZ15" i="23"/>
  <c r="BZ16" i="23"/>
  <c r="BZ17" i="23"/>
  <c r="BZ18" i="23"/>
  <c r="BZ19" i="23"/>
  <c r="BZ20" i="23"/>
  <c r="BZ21" i="23"/>
  <c r="BZ22" i="23"/>
  <c r="BZ23" i="23"/>
  <c r="BZ24" i="23"/>
  <c r="BZ25" i="23"/>
  <c r="BZ26" i="23"/>
  <c r="BZ27" i="23"/>
  <c r="BZ28" i="23"/>
  <c r="BZ29" i="23"/>
  <c r="BZ30" i="23"/>
  <c r="BZ31" i="23"/>
  <c r="BZ32" i="23"/>
  <c r="BZ33" i="23"/>
  <c r="BZ34" i="23"/>
  <c r="BZ35" i="23"/>
  <c r="BZ36" i="23"/>
  <c r="BZ37" i="23"/>
  <c r="BZ38" i="23"/>
  <c r="BZ39" i="23"/>
  <c r="BZ40" i="23"/>
  <c r="BZ41" i="23"/>
  <c r="BZ42" i="23"/>
  <c r="BZ43" i="23"/>
  <c r="BZ44" i="23"/>
  <c r="BZ45" i="23"/>
  <c r="BZ46" i="23"/>
  <c r="BZ47" i="23"/>
  <c r="BZ48" i="23"/>
  <c r="BZ49" i="23"/>
  <c r="BZ50" i="23"/>
  <c r="BZ51" i="23"/>
  <c r="BZ52" i="23"/>
  <c r="BZ53" i="23"/>
  <c r="BZ54" i="23"/>
  <c r="BZ55" i="23"/>
  <c r="BZ56" i="23"/>
  <c r="BZ57" i="23"/>
  <c r="BZ8" i="23"/>
  <c r="EI7" i="23"/>
  <c r="EH7" i="23"/>
  <c r="EG7" i="23"/>
  <c r="EI9" i="23"/>
  <c r="EH9" i="23"/>
  <c r="EG9" i="23"/>
  <c r="DA10" i="21" l="1"/>
  <c r="DB10" i="21" s="1"/>
  <c r="BU10" i="21"/>
  <c r="BN10" i="21" s="1"/>
  <c r="CR10" i="21"/>
  <c r="CS10" i="21" s="1"/>
  <c r="CN10" i="21"/>
  <c r="CO10" i="21" s="1"/>
  <c r="CW10" i="21"/>
  <c r="CX10" i="21" s="1"/>
  <c r="DA14" i="21"/>
  <c r="DB14" i="21" s="1"/>
  <c r="BU14" i="21"/>
  <c r="BN14" i="21" s="1"/>
  <c r="CN14" i="21"/>
  <c r="CO14" i="21" s="1"/>
  <c r="CW13" i="21"/>
  <c r="CX13" i="21" s="1"/>
  <c r="CR14" i="21"/>
  <c r="CS14" i="21" s="1"/>
  <c r="CW14" i="21"/>
  <c r="CX14" i="21" s="1"/>
  <c r="DC14" i="21" s="1"/>
  <c r="CN13" i="21"/>
  <c r="CO13" i="21" s="1"/>
  <c r="DA13" i="21"/>
  <c r="DB13" i="21" s="1"/>
  <c r="CR13" i="21"/>
  <c r="CS13" i="21" s="1"/>
  <c r="CW36" i="21"/>
  <c r="CX36" i="21" s="1"/>
  <c r="CW28" i="21"/>
  <c r="CX28" i="21" s="1"/>
  <c r="CW20" i="21"/>
  <c r="CX20" i="21" s="1"/>
  <c r="CW40" i="21"/>
  <c r="CX40" i="21" s="1"/>
  <c r="CW12" i="21"/>
  <c r="CX12" i="21" s="1"/>
  <c r="CW32" i="21"/>
  <c r="CX32" i="21" s="1"/>
  <c r="CW9" i="21"/>
  <c r="CX9" i="21" s="1"/>
  <c r="CW24" i="21"/>
  <c r="CX24" i="21" s="1"/>
  <c r="CW44" i="21"/>
  <c r="CX44" i="21" s="1"/>
  <c r="CN55" i="21"/>
  <c r="CO55" i="21" s="1"/>
  <c r="CN43" i="21"/>
  <c r="CO43" i="21" s="1"/>
  <c r="CN31" i="21"/>
  <c r="CO31" i="21" s="1"/>
  <c r="CN47" i="21"/>
  <c r="CO47" i="21" s="1"/>
  <c r="CN35" i="21"/>
  <c r="CO35" i="21" s="1"/>
  <c r="CN23" i="21"/>
  <c r="CO23" i="21" s="1"/>
  <c r="DA8" i="21"/>
  <c r="DB8" i="21" s="1"/>
  <c r="CW8" i="21"/>
  <c r="CX8" i="21" s="1"/>
  <c r="DC8" i="21" s="1"/>
  <c r="AL57" i="21"/>
  <c r="AL51" i="21"/>
  <c r="AL45" i="21"/>
  <c r="AL39" i="21"/>
  <c r="AL33" i="21"/>
  <c r="AL27" i="21"/>
  <c r="CR8" i="21"/>
  <c r="CS8" i="21" s="1"/>
  <c r="AL56" i="21"/>
  <c r="AL50" i="21"/>
  <c r="AL44" i="21"/>
  <c r="AL38" i="21"/>
  <c r="AL32" i="21"/>
  <c r="AL26" i="21"/>
  <c r="AL20" i="21"/>
  <c r="AL14" i="21"/>
  <c r="AL52" i="21"/>
  <c r="AL46" i="21"/>
  <c r="AL40" i="21"/>
  <c r="AL34" i="21"/>
  <c r="AL28" i="21"/>
  <c r="AL22" i="21"/>
  <c r="CN8" i="21"/>
  <c r="CO8" i="21" s="1"/>
  <c r="BU13" i="21"/>
  <c r="BN13" i="21" s="1"/>
  <c r="BN55" i="21"/>
  <c r="BN43" i="21"/>
  <c r="BN31" i="21"/>
  <c r="BN53" i="21"/>
  <c r="BN49" i="21"/>
  <c r="BN45" i="21"/>
  <c r="BN41" i="21"/>
  <c r="BN25" i="21"/>
  <c r="BN21" i="21"/>
  <c r="AL53" i="21"/>
  <c r="AL47" i="21"/>
  <c r="AL41" i="21"/>
  <c r="AL35" i="21"/>
  <c r="AL29" i="21"/>
  <c r="AL23" i="21"/>
  <c r="AL55" i="21"/>
  <c r="AL49" i="21"/>
  <c r="AL43" i="21"/>
  <c r="AL37" i="21"/>
  <c r="AL31" i="21"/>
  <c r="AL25" i="21"/>
  <c r="AL19" i="21"/>
  <c r="AL13" i="21"/>
  <c r="BN46" i="21"/>
  <c r="BN42" i="21"/>
  <c r="BN30" i="21"/>
  <c r="BN26" i="21"/>
  <c r="BN18" i="21"/>
  <c r="BN22" i="21"/>
  <c r="AL54" i="21"/>
  <c r="AL48" i="21"/>
  <c r="AL42" i="21"/>
  <c r="AL36" i="21"/>
  <c r="AL30" i="21"/>
  <c r="AL24" i="21"/>
  <c r="AL21" i="21"/>
  <c r="AL8" i="21"/>
  <c r="BN56" i="21"/>
  <c r="BN52" i="21"/>
  <c r="BN48" i="21"/>
  <c r="BN44" i="21"/>
  <c r="BN40" i="21"/>
  <c r="BN28" i="21"/>
  <c r="AL15" i="21"/>
  <c r="BN19" i="21"/>
  <c r="AL18" i="21"/>
  <c r="AL17" i="21"/>
  <c r="AL16" i="21"/>
  <c r="AL11" i="21"/>
  <c r="AL10" i="21"/>
  <c r="AL9" i="21"/>
  <c r="AL12" i="21"/>
  <c r="BN51" i="21"/>
  <c r="BN24" i="21"/>
  <c r="BN20" i="21"/>
  <c r="BN16" i="21"/>
  <c r="BN12" i="21"/>
  <c r="BN39" i="21"/>
  <c r="BN35" i="21"/>
  <c r="BN58" i="21"/>
  <c r="BN54" i="21"/>
  <c r="BN50" i="21"/>
  <c r="BN15" i="21"/>
  <c r="BN11" i="21"/>
  <c r="BN38" i="21"/>
  <c r="BN34" i="21"/>
  <c r="BN57" i="21"/>
  <c r="BN37" i="21"/>
  <c r="BN33" i="21"/>
  <c r="BN29" i="21"/>
  <c r="BN32" i="21"/>
  <c r="BN17" i="21"/>
  <c r="BN47" i="21"/>
  <c r="BN36" i="21"/>
  <c r="BN9" i="21"/>
  <c r="CF8" i="21"/>
  <c r="CF9" i="21"/>
  <c r="CG8" i="21"/>
  <c r="CG58" i="21" s="1"/>
  <c r="W5" i="21" s="1"/>
  <c r="BO8" i="21"/>
  <c r="CD9" i="21"/>
  <c r="CD58" i="21" s="1"/>
  <c r="W2" i="21" s="1"/>
  <c r="CE58" i="21"/>
  <c r="W3" i="21" s="1"/>
  <c r="W8" i="21"/>
  <c r="EV11" i="23"/>
  <c r="EV10" i="23"/>
  <c r="EV9" i="23"/>
  <c r="EV12" i="23"/>
  <c r="TE6" i="2"/>
  <c r="TF3" i="2"/>
  <c r="TF4" i="2"/>
  <c r="TV4" i="2"/>
  <c r="YQ6" i="2"/>
  <c r="AQ9" i="21"/>
  <c r="AQ10" i="21"/>
  <c r="AQ11" i="21"/>
  <c r="AQ12" i="21"/>
  <c r="AQ13" i="21"/>
  <c r="AQ14" i="21"/>
  <c r="AQ15" i="21"/>
  <c r="AQ16" i="21"/>
  <c r="AQ17" i="21"/>
  <c r="AQ18" i="21"/>
  <c r="AQ19" i="21"/>
  <c r="AQ20" i="21"/>
  <c r="AQ21" i="21"/>
  <c r="AQ22" i="21"/>
  <c r="AQ23" i="21"/>
  <c r="AQ24" i="21"/>
  <c r="AQ25" i="21"/>
  <c r="AQ26" i="21"/>
  <c r="AQ27" i="21"/>
  <c r="AQ28" i="21"/>
  <c r="AQ29" i="21"/>
  <c r="AQ30" i="21"/>
  <c r="AQ31" i="21"/>
  <c r="AQ32" i="21"/>
  <c r="AQ33" i="21"/>
  <c r="AQ34" i="21"/>
  <c r="AQ35" i="21"/>
  <c r="AQ36" i="21"/>
  <c r="AQ37" i="21"/>
  <c r="AQ38" i="21"/>
  <c r="AQ39" i="21"/>
  <c r="AQ40" i="21"/>
  <c r="AQ41" i="21"/>
  <c r="AQ42" i="21"/>
  <c r="AQ43" i="21"/>
  <c r="AQ44" i="21"/>
  <c r="AQ45" i="21"/>
  <c r="AQ46" i="21"/>
  <c r="AQ47" i="21"/>
  <c r="AQ48" i="21"/>
  <c r="AQ49" i="21"/>
  <c r="AQ50" i="21"/>
  <c r="AQ51" i="21"/>
  <c r="AQ52" i="21"/>
  <c r="AQ53" i="21"/>
  <c r="AQ54" i="21"/>
  <c r="AQ55" i="21"/>
  <c r="AQ56" i="21"/>
  <c r="AQ57" i="21"/>
  <c r="AQ8" i="21"/>
  <c r="YQ4" i="2"/>
  <c r="YR6" i="2"/>
  <c r="YR4" i="2"/>
  <c r="YO6" i="2"/>
  <c r="YO5" i="2"/>
  <c r="YO4" i="2"/>
  <c r="YO3" i="2"/>
  <c r="YO2" i="2"/>
  <c r="XY6" i="2"/>
  <c r="XY5" i="2"/>
  <c r="XY4" i="2"/>
  <c r="XY3" i="2"/>
  <c r="XY2" i="2"/>
  <c r="XX6" i="2"/>
  <c r="XX5" i="2"/>
  <c r="XX4" i="2"/>
  <c r="XX3" i="2"/>
  <c r="XX2" i="2"/>
  <c r="XW6" i="2"/>
  <c r="XW5" i="2"/>
  <c r="XW4" i="2"/>
  <c r="XW3" i="2"/>
  <c r="XW2" i="2"/>
  <c r="XV6" i="2"/>
  <c r="XV5" i="2"/>
  <c r="XV4" i="2"/>
  <c r="XV3" i="2"/>
  <c r="XV2" i="2"/>
  <c r="XU6" i="2"/>
  <c r="XU5" i="2"/>
  <c r="XU4" i="2"/>
  <c r="XU3" i="2"/>
  <c r="XU2" i="2"/>
  <c r="YP6" i="2"/>
  <c r="YN6" i="2"/>
  <c r="YM6" i="2"/>
  <c r="YL6" i="2"/>
  <c r="YK6" i="2"/>
  <c r="YJ6" i="2"/>
  <c r="YI6" i="2"/>
  <c r="YH6" i="2"/>
  <c r="YG6" i="2"/>
  <c r="YF6" i="2"/>
  <c r="YE6" i="2"/>
  <c r="YD6" i="2"/>
  <c r="YC6" i="2"/>
  <c r="YB6" i="2"/>
  <c r="YA6" i="2"/>
  <c r="XZ6" i="2"/>
  <c r="XT6" i="2"/>
  <c r="UB6" i="2"/>
  <c r="AE9" i="21"/>
  <c r="AE10" i="21"/>
  <c r="AE11" i="21"/>
  <c r="AE12" i="21"/>
  <c r="AE13" i="21"/>
  <c r="AE14" i="21"/>
  <c r="AE15" i="21"/>
  <c r="AE16" i="21"/>
  <c r="AE17" i="21"/>
  <c r="AE18" i="21"/>
  <c r="AE19" i="21"/>
  <c r="AE20" i="21"/>
  <c r="AE21" i="21"/>
  <c r="AE22" i="21"/>
  <c r="AE23" i="21"/>
  <c r="AE24" i="21"/>
  <c r="AE25" i="21"/>
  <c r="AE26" i="21"/>
  <c r="AE27" i="21"/>
  <c r="AE28" i="21"/>
  <c r="AE29" i="21"/>
  <c r="AE30" i="21"/>
  <c r="AE31" i="21"/>
  <c r="AE32" i="21"/>
  <c r="AE33" i="21"/>
  <c r="AE34" i="21"/>
  <c r="AE35" i="21"/>
  <c r="AE36" i="21"/>
  <c r="AE37" i="21"/>
  <c r="AE38" i="21"/>
  <c r="AE39" i="21"/>
  <c r="AE40" i="21"/>
  <c r="AE41" i="21"/>
  <c r="AE42" i="21"/>
  <c r="AE43" i="21"/>
  <c r="AE44" i="21"/>
  <c r="AE45" i="21"/>
  <c r="AE46" i="21"/>
  <c r="AE47" i="21"/>
  <c r="AE48" i="21"/>
  <c r="AE49" i="21"/>
  <c r="AE50" i="21"/>
  <c r="AE51" i="21"/>
  <c r="AE52" i="21"/>
  <c r="AE53" i="21"/>
  <c r="AE54" i="21"/>
  <c r="AE55" i="21"/>
  <c r="AE56" i="21"/>
  <c r="AE57" i="21"/>
  <c r="UA6" i="2"/>
  <c r="UA4" i="2"/>
  <c r="AE8" i="21"/>
  <c r="CT10" i="21" l="1"/>
  <c r="DC10" i="21"/>
  <c r="CT14" i="21"/>
  <c r="DC13" i="21"/>
  <c r="CT13" i="21"/>
  <c r="CT8" i="21"/>
  <c r="BU8" i="21"/>
  <c r="BN8" i="21" s="1"/>
  <c r="CF58" i="21"/>
  <c r="W4" i="21" s="1"/>
  <c r="AI9" i="21"/>
  <c r="AI10" i="21"/>
  <c r="AI11" i="21"/>
  <c r="AI12" i="21"/>
  <c r="AI13" i="21"/>
  <c r="AI14" i="21"/>
  <c r="AI15" i="21"/>
  <c r="AI16" i="21"/>
  <c r="AI17" i="21"/>
  <c r="AI18" i="21"/>
  <c r="AI19" i="21"/>
  <c r="AI20" i="21"/>
  <c r="AI21" i="21"/>
  <c r="AI22" i="21"/>
  <c r="AI23" i="21"/>
  <c r="AI24" i="21"/>
  <c r="AI25" i="21"/>
  <c r="AI26" i="21"/>
  <c r="AI27" i="21"/>
  <c r="AI28" i="21"/>
  <c r="AI29" i="21"/>
  <c r="AI30" i="21"/>
  <c r="AI31" i="21"/>
  <c r="AI32" i="21"/>
  <c r="AI33" i="21"/>
  <c r="AI34" i="21"/>
  <c r="AI35" i="21"/>
  <c r="AI36" i="21"/>
  <c r="AI37" i="21"/>
  <c r="AI38" i="21"/>
  <c r="AI39" i="21"/>
  <c r="AI40" i="21"/>
  <c r="AI41" i="21"/>
  <c r="AI42" i="21"/>
  <c r="AI43" i="21"/>
  <c r="AI44" i="21"/>
  <c r="AI45" i="21"/>
  <c r="AI46" i="21"/>
  <c r="AI47" i="21"/>
  <c r="AI48" i="21"/>
  <c r="AI49" i="21"/>
  <c r="AI50" i="21"/>
  <c r="AI51" i="21"/>
  <c r="AI52" i="21"/>
  <c r="AI53" i="21"/>
  <c r="AI54" i="21"/>
  <c r="AI55" i="21"/>
  <c r="AI56" i="21"/>
  <c r="AI57" i="21"/>
  <c r="AI8" i="21"/>
  <c r="UX25" i="2"/>
  <c r="UX24" i="2"/>
  <c r="UX23" i="2"/>
  <c r="UX22" i="2"/>
  <c r="UX21" i="2"/>
  <c r="UX20" i="2"/>
  <c r="UX19" i="2"/>
  <c r="UX18" i="2"/>
  <c r="UX17" i="2"/>
  <c r="UX16" i="2"/>
  <c r="UX15" i="2"/>
  <c r="UX14" i="2"/>
  <c r="UX26" i="2"/>
  <c r="AT9" i="21"/>
  <c r="AT10" i="21"/>
  <c r="AT11" i="21"/>
  <c r="AT12" i="21"/>
  <c r="AT13" i="21"/>
  <c r="AT14" i="21"/>
  <c r="AT15" i="21"/>
  <c r="AT16" i="21"/>
  <c r="AT17" i="21"/>
  <c r="AT18" i="21"/>
  <c r="AT19" i="21"/>
  <c r="AT20" i="21"/>
  <c r="AT21" i="21"/>
  <c r="AT22" i="21"/>
  <c r="AT23" i="21"/>
  <c r="AT24" i="21"/>
  <c r="AT25" i="21"/>
  <c r="AT26" i="21"/>
  <c r="AT27" i="21"/>
  <c r="AT28" i="21"/>
  <c r="AT29" i="21"/>
  <c r="AT30" i="21"/>
  <c r="AT31" i="21"/>
  <c r="AT32" i="21"/>
  <c r="AT33" i="21"/>
  <c r="AT34" i="21"/>
  <c r="AT35" i="21"/>
  <c r="AT36" i="21"/>
  <c r="AT37" i="21"/>
  <c r="AT38" i="21"/>
  <c r="AT39" i="21"/>
  <c r="AT40" i="21"/>
  <c r="AT41" i="21"/>
  <c r="AT42" i="21"/>
  <c r="AT43" i="21"/>
  <c r="AT44" i="21"/>
  <c r="AT45" i="21"/>
  <c r="AT46" i="21"/>
  <c r="AT47" i="21"/>
  <c r="AT48" i="21"/>
  <c r="AT49" i="21"/>
  <c r="AT50" i="21"/>
  <c r="AT51" i="21"/>
  <c r="AT52" i="21"/>
  <c r="AT53" i="21"/>
  <c r="AT54" i="21"/>
  <c r="AT55" i="21"/>
  <c r="AT56" i="21"/>
  <c r="AT57" i="21"/>
  <c r="AT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8" i="21"/>
  <c r="VN13" i="2"/>
  <c r="VN12" i="2"/>
  <c r="VN11" i="2"/>
  <c r="RV15" i="2"/>
  <c r="RV14" i="2"/>
  <c r="AH11" i="21"/>
  <c r="AH12" i="21"/>
  <c r="AH15" i="21"/>
  <c r="AH16" i="21"/>
  <c r="AH17" i="21"/>
  <c r="AH18" i="21"/>
  <c r="AH19" i="21"/>
  <c r="AH20" i="21"/>
  <c r="AH21" i="21"/>
  <c r="AH22" i="21"/>
  <c r="AH23" i="21"/>
  <c r="AH24" i="21"/>
  <c r="AH25" i="21"/>
  <c r="AH26" i="21"/>
  <c r="AH27" i="21"/>
  <c r="AH28" i="21"/>
  <c r="AH29" i="21"/>
  <c r="AH30" i="21"/>
  <c r="AH31" i="21"/>
  <c r="AH32" i="21"/>
  <c r="AH33" i="21"/>
  <c r="AH34" i="21"/>
  <c r="AH35" i="21"/>
  <c r="AH36" i="21"/>
  <c r="AH37" i="21"/>
  <c r="AH38" i="21"/>
  <c r="AH39" i="21"/>
  <c r="AH40" i="21"/>
  <c r="AH41" i="21"/>
  <c r="AH42" i="21"/>
  <c r="AH43" i="21"/>
  <c r="AH44" i="21"/>
  <c r="AH45" i="21"/>
  <c r="AH46" i="21"/>
  <c r="AH47" i="21"/>
  <c r="AH48" i="21"/>
  <c r="AH49" i="21"/>
  <c r="AH50" i="21"/>
  <c r="AH51" i="21"/>
  <c r="AH52" i="21"/>
  <c r="AH53" i="21"/>
  <c r="AH54" i="21"/>
  <c r="AH55" i="21"/>
  <c r="AH56" i="21"/>
  <c r="AH57" i="21"/>
  <c r="RV3" i="2"/>
  <c r="AH13" i="21" s="1"/>
  <c r="RV4" i="2"/>
  <c r="RV5" i="2"/>
  <c r="AH10" i="21" s="1"/>
  <c r="RV6" i="2"/>
  <c r="RV7" i="2"/>
  <c r="RV8" i="2"/>
  <c r="RV9" i="2"/>
  <c r="AH14" i="21" s="1"/>
  <c r="RV10" i="2"/>
  <c r="RV11" i="2"/>
  <c r="AH9" i="21" s="1"/>
  <c r="RV12" i="2"/>
  <c r="RV13" i="2"/>
  <c r="RV2" i="2"/>
  <c r="AH8" i="21" s="1"/>
  <c r="EM7" i="23"/>
  <c r="EM9" i="23"/>
  <c r="TX4" i="2"/>
  <c r="TU4" i="2"/>
  <c r="TW4" i="2"/>
  <c r="TT4" i="2"/>
  <c r="TS4" i="2"/>
  <c r="TR4" i="2"/>
  <c r="TM6" i="2"/>
  <c r="TD6" i="2"/>
  <c r="TC6" i="2"/>
  <c r="VP15" i="2"/>
  <c r="VP14" i="2"/>
  <c r="VP11" i="2"/>
  <c r="VP10" i="2"/>
  <c r="VP9" i="2"/>
  <c r="VP8" i="2"/>
  <c r="VP7" i="2"/>
  <c r="VP6" i="2"/>
  <c r="VP5" i="2"/>
  <c r="VP4" i="2"/>
  <c r="VP3" i="2"/>
  <c r="VP2" i="2"/>
  <c r="FF9" i="23"/>
  <c r="FF10" i="23"/>
  <c r="FF11" i="23"/>
  <c r="FF12" i="23"/>
  <c r="FF13" i="23"/>
  <c r="FF14" i="23"/>
  <c r="FF15" i="23"/>
  <c r="FF16" i="23"/>
  <c r="FF17" i="23"/>
  <c r="FF18" i="23"/>
  <c r="FF19" i="23"/>
  <c r="FF20" i="23"/>
  <c r="FF21" i="23"/>
  <c r="FF22" i="23"/>
  <c r="FF23" i="23"/>
  <c r="FF24" i="23"/>
  <c r="FF25" i="23"/>
  <c r="FF26" i="23"/>
  <c r="FF27" i="23"/>
  <c r="FF28" i="23"/>
  <c r="FF29" i="23"/>
  <c r="FF30" i="23"/>
  <c r="FF31" i="23"/>
  <c r="FF32" i="23"/>
  <c r="FF33" i="23"/>
  <c r="FF34" i="23"/>
  <c r="FF35" i="23"/>
  <c r="FF36" i="23"/>
  <c r="FF37" i="23"/>
  <c r="FF38" i="23"/>
  <c r="FF39" i="23"/>
  <c r="FF40" i="23"/>
  <c r="FF41" i="23"/>
  <c r="FF42" i="23"/>
  <c r="FF43" i="23"/>
  <c r="FF44" i="23"/>
  <c r="FF45" i="23"/>
  <c r="FF46" i="23"/>
  <c r="FF47" i="23"/>
  <c r="FF48" i="23"/>
  <c r="FF49" i="23"/>
  <c r="FF50" i="23"/>
  <c r="FF51" i="23"/>
  <c r="FF52" i="23"/>
  <c r="FF53" i="23"/>
  <c r="FF54" i="23"/>
  <c r="FF55" i="23"/>
  <c r="FF56" i="23"/>
  <c r="FF57" i="23"/>
  <c r="FF8" i="23"/>
  <c r="EJ7" i="23" l="1"/>
  <c r="DU9" i="23"/>
  <c r="EF7" i="23"/>
  <c r="EE7" i="23"/>
  <c r="ED7" i="23"/>
  <c r="EC7" i="23"/>
  <c r="EB7" i="23"/>
  <c r="EL9" i="23"/>
  <c r="EK9" i="23"/>
  <c r="EJ9" i="23"/>
  <c r="EL7" i="23"/>
  <c r="EK7" i="23"/>
  <c r="EF9" i="23"/>
  <c r="EE9" i="23"/>
  <c r="ED9" i="23"/>
  <c r="EC9" i="23"/>
  <c r="EB9" i="23"/>
  <c r="VQ15" i="2" l="1"/>
  <c r="VQ14" i="2"/>
  <c r="VQ11" i="2"/>
  <c r="VO15" i="2"/>
  <c r="VO14" i="2"/>
  <c r="VO11" i="2"/>
  <c r="VN15" i="2"/>
  <c r="VN14" i="2"/>
  <c r="VM15" i="2"/>
  <c r="VM14" i="2"/>
  <c r="VM11" i="2"/>
  <c r="YP5" i="2"/>
  <c r="YP4" i="2"/>
  <c r="YP3" i="2"/>
  <c r="YP2" i="2"/>
  <c r="YN5" i="2"/>
  <c r="YN4" i="2"/>
  <c r="YN3" i="2"/>
  <c r="YN2" i="2"/>
  <c r="YM5" i="2"/>
  <c r="YM4" i="2"/>
  <c r="YM3" i="2"/>
  <c r="YM2" i="2"/>
  <c r="YL5" i="2"/>
  <c r="YL4" i="2"/>
  <c r="YL3" i="2"/>
  <c r="YL2" i="2"/>
  <c r="YK5" i="2"/>
  <c r="YK4" i="2"/>
  <c r="YK3" i="2"/>
  <c r="YK2" i="2"/>
  <c r="YJ5" i="2"/>
  <c r="YJ4" i="2"/>
  <c r="YJ3" i="2"/>
  <c r="YJ2" i="2"/>
  <c r="YI5" i="2"/>
  <c r="YI4" i="2"/>
  <c r="YI3" i="2"/>
  <c r="YI2" i="2"/>
  <c r="YH5" i="2"/>
  <c r="YH4" i="2"/>
  <c r="YH3" i="2"/>
  <c r="YH2" i="2"/>
  <c r="YG5" i="2"/>
  <c r="YG4" i="2"/>
  <c r="YG3" i="2"/>
  <c r="YG2" i="2"/>
  <c r="YR3" i="2" l="1"/>
  <c r="YF4" i="2"/>
  <c r="YE4" i="2"/>
  <c r="YD4" i="2"/>
  <c r="YC4" i="2"/>
  <c r="YB4" i="2"/>
  <c r="YA4" i="2"/>
  <c r="XZ4" i="2"/>
  <c r="XT4" i="2"/>
  <c r="UA3" i="2"/>
  <c r="UB4" i="2" l="1"/>
  <c r="TQ4" i="2"/>
  <c r="TM4" i="2"/>
  <c r="TL4" i="2"/>
  <c r="TK4" i="2"/>
  <c r="TJ4" i="2"/>
  <c r="TI4" i="2"/>
  <c r="TH3" i="2"/>
  <c r="TG3" i="2"/>
  <c r="TE3" i="2"/>
  <c r="TD3" i="2"/>
  <c r="TC4" i="2"/>
  <c r="VO16" i="2"/>
  <c r="VO10" i="2"/>
  <c r="VO9" i="2"/>
  <c r="VO8" i="2"/>
  <c r="VO7" i="2"/>
  <c r="VO6" i="2"/>
  <c r="VO5" i="2"/>
  <c r="VO4" i="2"/>
  <c r="VO3" i="2"/>
  <c r="VO2" i="2"/>
  <c r="EN7" i="23" l="1"/>
  <c r="EA7" i="23"/>
  <c r="DZ7" i="23"/>
  <c r="EN9" i="23"/>
  <c r="EA9" i="23"/>
  <c r="DZ9" i="23"/>
  <c r="FL9" i="23"/>
  <c r="FM9" i="23"/>
  <c r="FL10" i="23"/>
  <c r="FM10" i="23"/>
  <c r="FL11" i="23"/>
  <c r="FM11" i="23"/>
  <c r="FL12" i="23"/>
  <c r="FM12" i="23"/>
  <c r="FL13" i="23"/>
  <c r="FM13" i="23"/>
  <c r="FL14" i="23"/>
  <c r="FM14" i="23"/>
  <c r="FL15" i="23"/>
  <c r="FM15" i="23"/>
  <c r="FL16" i="23"/>
  <c r="FM16" i="23"/>
  <c r="FL17" i="23"/>
  <c r="FM17" i="23"/>
  <c r="FL18" i="23"/>
  <c r="FM18" i="23"/>
  <c r="FL19" i="23"/>
  <c r="FM19" i="23"/>
  <c r="FL20" i="23"/>
  <c r="FM20" i="23"/>
  <c r="FL21" i="23"/>
  <c r="FM21" i="23"/>
  <c r="FL22" i="23"/>
  <c r="FM22" i="23"/>
  <c r="FL23" i="23"/>
  <c r="FM23" i="23"/>
  <c r="FL24" i="23"/>
  <c r="FM24" i="23"/>
  <c r="FL25" i="23"/>
  <c r="FM25" i="23"/>
  <c r="FL26" i="23"/>
  <c r="FM26" i="23"/>
  <c r="FL27" i="23"/>
  <c r="FM27" i="23"/>
  <c r="FL28" i="23"/>
  <c r="FM28" i="23"/>
  <c r="FL29" i="23"/>
  <c r="FM29" i="23"/>
  <c r="FL30" i="23"/>
  <c r="FM30" i="23"/>
  <c r="FL31" i="23"/>
  <c r="FM31" i="23"/>
  <c r="FL32" i="23"/>
  <c r="FM32" i="23"/>
  <c r="FL33" i="23"/>
  <c r="FM33" i="23"/>
  <c r="FL34" i="23"/>
  <c r="FM34" i="23"/>
  <c r="FL35" i="23"/>
  <c r="FM35" i="23"/>
  <c r="FL36" i="23"/>
  <c r="FM36" i="23"/>
  <c r="FL37" i="23"/>
  <c r="FM37" i="23"/>
  <c r="FL38" i="23"/>
  <c r="FM38" i="23"/>
  <c r="FL39" i="23"/>
  <c r="FM39" i="23"/>
  <c r="FL40" i="23"/>
  <c r="FM40" i="23"/>
  <c r="FL41" i="23"/>
  <c r="FM41" i="23"/>
  <c r="FL42" i="23"/>
  <c r="FM42" i="23"/>
  <c r="FL43" i="23"/>
  <c r="FM43" i="23"/>
  <c r="FL44" i="23"/>
  <c r="FM44" i="23"/>
  <c r="FL45" i="23"/>
  <c r="FM45" i="23"/>
  <c r="FL46" i="23"/>
  <c r="FM46" i="23"/>
  <c r="FL47" i="23"/>
  <c r="FM47" i="23"/>
  <c r="FL48" i="23"/>
  <c r="FM48" i="23"/>
  <c r="FL49" i="23"/>
  <c r="FM49" i="23"/>
  <c r="FL50" i="23"/>
  <c r="FM50" i="23"/>
  <c r="FL51" i="23"/>
  <c r="FM51" i="23"/>
  <c r="FL52" i="23"/>
  <c r="FM52" i="23"/>
  <c r="FL53" i="23"/>
  <c r="FM53" i="23"/>
  <c r="FL54" i="23"/>
  <c r="FM54" i="23"/>
  <c r="FL55" i="23"/>
  <c r="FM55" i="23"/>
  <c r="FL56" i="23"/>
  <c r="FM56" i="23"/>
  <c r="FL57" i="23"/>
  <c r="FM57" i="23"/>
  <c r="FM8" i="23"/>
  <c r="FL8" i="23"/>
  <c r="FN5" i="23"/>
  <c r="FN4" i="23"/>
  <c r="FN3" i="23"/>
  <c r="FN2" i="23"/>
  <c r="FM5" i="23"/>
  <c r="FM4" i="23"/>
  <c r="FM3" i="23"/>
  <c r="FM2" i="23"/>
  <c r="DY7" i="23" l="1"/>
  <c r="DY9" i="23"/>
  <c r="J19" i="18" l="1"/>
  <c r="J16" i="18"/>
  <c r="EP11" i="5" l="1"/>
  <c r="EP12" i="5"/>
  <c r="EP13" i="5"/>
  <c r="EP14" i="5"/>
  <c r="EP15" i="5"/>
  <c r="EP16" i="5"/>
  <c r="EP17" i="5"/>
  <c r="EP18" i="5"/>
  <c r="EP19" i="5"/>
  <c r="EP20" i="5"/>
  <c r="EP21" i="5"/>
  <c r="EP22" i="5"/>
  <c r="EP23" i="5"/>
  <c r="BE44" i="5" l="1"/>
  <c r="BE45" i="5"/>
  <c r="BE46" i="5"/>
  <c r="BE47" i="5"/>
  <c r="BE48" i="5"/>
  <c r="BE49" i="5"/>
  <c r="BE50" i="5"/>
  <c r="BE51" i="5"/>
  <c r="BE52" i="5"/>
  <c r="BE43" i="5"/>
  <c r="AZ27" i="5" l="1"/>
  <c r="AZ28" i="5"/>
  <c r="AZ29" i="5"/>
  <c r="AZ30" i="5"/>
  <c r="AZ31" i="5"/>
  <c r="AZ32" i="5"/>
  <c r="AZ33" i="5"/>
  <c r="AZ34" i="5"/>
  <c r="AZ35" i="5"/>
  <c r="AZ26" i="5"/>
  <c r="BJ10" i="5" l="1"/>
  <c r="BJ11" i="5"/>
  <c r="BJ12" i="5"/>
  <c r="BJ13" i="5"/>
  <c r="BJ14" i="5"/>
  <c r="BJ15" i="5"/>
  <c r="BJ16" i="5"/>
  <c r="BJ17" i="5"/>
  <c r="BJ18" i="5"/>
  <c r="BJ19" i="5"/>
  <c r="BJ20" i="5"/>
  <c r="BJ21" i="5"/>
  <c r="BJ22" i="5"/>
  <c r="BJ23" i="5"/>
  <c r="BJ9" i="5"/>
  <c r="BE10" i="5"/>
  <c r="BE11" i="5"/>
  <c r="BE12" i="5"/>
  <c r="BE13" i="5"/>
  <c r="BE14" i="5"/>
  <c r="BE15" i="5"/>
  <c r="BE16" i="5"/>
  <c r="BE17" i="5"/>
  <c r="BE18" i="5"/>
  <c r="BE19" i="5"/>
  <c r="BE20" i="5"/>
  <c r="BE21" i="5"/>
  <c r="BE22" i="5"/>
  <c r="BE23" i="5"/>
  <c r="BE9" i="5"/>
  <c r="BA10" i="5" l="1"/>
  <c r="BA11" i="5"/>
  <c r="BA12" i="5"/>
  <c r="BA13" i="5"/>
  <c r="BA14" i="5"/>
  <c r="BA15" i="5"/>
  <c r="BA16" i="5"/>
  <c r="BA17" i="5"/>
  <c r="BA18" i="5"/>
  <c r="BA19" i="5"/>
  <c r="BA20" i="5"/>
  <c r="BA21" i="5"/>
  <c r="BA22" i="5"/>
  <c r="BA23" i="5"/>
  <c r="BA9" i="5"/>
  <c r="AU19" i="5"/>
  <c r="AU20" i="5"/>
  <c r="AU21" i="5"/>
  <c r="AU22" i="5"/>
  <c r="AU23" i="5"/>
  <c r="CA10" i="5"/>
  <c r="CA11" i="5"/>
  <c r="CA12" i="5"/>
  <c r="CA13" i="5"/>
  <c r="CA14" i="5"/>
  <c r="CA15" i="5"/>
  <c r="CA16" i="5"/>
  <c r="CA17" i="5"/>
  <c r="CA18" i="5"/>
  <c r="CA19" i="5"/>
  <c r="CA20" i="5"/>
  <c r="CA21" i="5"/>
  <c r="CA22" i="5"/>
  <c r="CA23" i="5"/>
  <c r="CA9" i="5"/>
  <c r="CO10" i="5"/>
  <c r="CO11" i="5"/>
  <c r="CO12" i="5"/>
  <c r="CO13" i="5"/>
  <c r="CO14" i="5"/>
  <c r="CO15" i="5"/>
  <c r="CO16" i="5"/>
  <c r="CO17" i="5"/>
  <c r="CO18" i="5"/>
  <c r="CO19" i="5"/>
  <c r="CO20" i="5"/>
  <c r="CO21" i="5"/>
  <c r="CO22" i="5"/>
  <c r="CO23" i="5"/>
  <c r="CO9" i="5"/>
  <c r="FK25" i="2"/>
  <c r="FK24" i="2"/>
  <c r="FK23" i="2"/>
  <c r="FK22" i="2"/>
  <c r="FK21" i="2"/>
  <c r="FK20" i="2"/>
  <c r="FK19" i="2"/>
  <c r="BZ10" i="5"/>
  <c r="BZ11" i="5"/>
  <c r="BZ12" i="5"/>
  <c r="BZ13" i="5"/>
  <c r="BZ14" i="5"/>
  <c r="BZ15" i="5"/>
  <c r="BZ16" i="5"/>
  <c r="BZ17" i="5"/>
  <c r="BZ18" i="5"/>
  <c r="BZ19" i="5"/>
  <c r="BZ20" i="5"/>
  <c r="BZ21" i="5"/>
  <c r="BZ22" i="5"/>
  <c r="BZ23" i="5"/>
  <c r="BZ9" i="5"/>
  <c r="EG10" i="5" l="1"/>
  <c r="EG11" i="5"/>
  <c r="EG12" i="5"/>
  <c r="EG13" i="5"/>
  <c r="EG14" i="5"/>
  <c r="EG15" i="5"/>
  <c r="EG16" i="5"/>
  <c r="EG17" i="5"/>
  <c r="EG18" i="5"/>
  <c r="EG19" i="5"/>
  <c r="EG20" i="5"/>
  <c r="EG21" i="5"/>
  <c r="EG22" i="5"/>
  <c r="EG23" i="5"/>
  <c r="EG9" i="5"/>
  <c r="EQ19" i="5"/>
  <c r="EQ20" i="5"/>
  <c r="EQ21" i="5"/>
  <c r="EQ22" i="5"/>
  <c r="EQ23" i="5"/>
  <c r="CY19" i="5" l="1"/>
  <c r="CY20" i="5"/>
  <c r="CY21" i="5"/>
  <c r="CY22" i="5"/>
  <c r="CY23" i="5"/>
  <c r="CY9" i="5"/>
  <c r="CX10" i="5"/>
  <c r="CX11" i="5"/>
  <c r="CX12" i="5"/>
  <c r="CY12" i="5" s="1"/>
  <c r="CX13" i="5"/>
  <c r="CX14" i="5"/>
  <c r="CX15" i="5"/>
  <c r="CX16" i="5"/>
  <c r="CX17" i="5"/>
  <c r="CX18" i="5"/>
  <c r="CX19" i="5"/>
  <c r="CX20" i="5"/>
  <c r="CX21" i="5"/>
  <c r="CX22" i="5"/>
  <c r="CX23" i="5"/>
  <c r="CX9" i="5"/>
  <c r="CW10" i="5"/>
  <c r="CW11" i="5"/>
  <c r="CW12" i="5"/>
  <c r="CW13" i="5"/>
  <c r="CW14" i="5"/>
  <c r="CY14" i="5" s="1"/>
  <c r="CW15" i="5"/>
  <c r="CW16" i="5"/>
  <c r="CW17" i="5"/>
  <c r="CW18" i="5"/>
  <c r="CW19" i="5"/>
  <c r="CW20" i="5"/>
  <c r="CW21" i="5"/>
  <c r="CW22" i="5"/>
  <c r="CW23" i="5"/>
  <c r="CW9" i="5"/>
  <c r="CU10" i="5" l="1"/>
  <c r="CY10" i="5" s="1"/>
  <c r="CU11" i="5"/>
  <c r="CU12" i="5"/>
  <c r="CU13" i="5"/>
  <c r="CU14" i="5"/>
  <c r="CU15" i="5"/>
  <c r="CU16" i="5"/>
  <c r="CU17" i="5"/>
  <c r="CU18" i="5"/>
  <c r="CU19" i="5"/>
  <c r="CU20" i="5"/>
  <c r="CU21" i="5"/>
  <c r="CU22" i="5"/>
  <c r="CU23" i="5"/>
  <c r="CU9" i="5"/>
  <c r="T9" i="15" l="1"/>
  <c r="T11" i="15"/>
  <c r="T12" i="15"/>
  <c r="T13" i="15"/>
  <c r="T14" i="15"/>
  <c r="T15" i="15"/>
  <c r="T16" i="15"/>
  <c r="T17" i="15"/>
  <c r="T18" i="15"/>
  <c r="T19" i="15"/>
  <c r="T20" i="15"/>
  <c r="T21" i="15"/>
  <c r="T22" i="15"/>
  <c r="T23" i="15"/>
  <c r="T24" i="15"/>
  <c r="T25" i="15"/>
  <c r="T26" i="15"/>
  <c r="T27" i="15"/>
  <c r="M5" i="23" l="1"/>
  <c r="M4" i="23"/>
  <c r="M3" i="23"/>
  <c r="M2" i="23"/>
  <c r="M1" i="23"/>
  <c r="D20" i="18" l="1"/>
  <c r="FJ57" i="23"/>
  <c r="FC57" i="23"/>
  <c r="BT57" i="23"/>
  <c r="BM57" i="23"/>
  <c r="S57" i="23"/>
  <c r="FJ56" i="23"/>
  <c r="FC56" i="23"/>
  <c r="BT56" i="23"/>
  <c r="BM56" i="23"/>
  <c r="S56" i="23"/>
  <c r="FJ55" i="23"/>
  <c r="FC55" i="23"/>
  <c r="BT55" i="23"/>
  <c r="BM55" i="23"/>
  <c r="S55" i="23"/>
  <c r="FJ54" i="23"/>
  <c r="FC54" i="23"/>
  <c r="BT54" i="23"/>
  <c r="BM54" i="23"/>
  <c r="S54" i="23"/>
  <c r="FJ53" i="23"/>
  <c r="FC53" i="23"/>
  <c r="BT53" i="23"/>
  <c r="BM53" i="23"/>
  <c r="S53" i="23"/>
  <c r="FJ52" i="23"/>
  <c r="FC52" i="23"/>
  <c r="BT52" i="23"/>
  <c r="BM52" i="23"/>
  <c r="S52" i="23"/>
  <c r="FJ51" i="23"/>
  <c r="FC51" i="23"/>
  <c r="BT51" i="23"/>
  <c r="BM51" i="23"/>
  <c r="S51" i="23"/>
  <c r="FJ50" i="23"/>
  <c r="FC50" i="23"/>
  <c r="BT50" i="23"/>
  <c r="BM50" i="23"/>
  <c r="S50" i="23"/>
  <c r="FJ49" i="23"/>
  <c r="FC49" i="23"/>
  <c r="BT49" i="23"/>
  <c r="BM49" i="23"/>
  <c r="S49" i="23"/>
  <c r="FJ48" i="23"/>
  <c r="FC48" i="23"/>
  <c r="BT48" i="23"/>
  <c r="BM48" i="23"/>
  <c r="S48" i="23"/>
  <c r="FJ47" i="23"/>
  <c r="FC47" i="23"/>
  <c r="BT47" i="23"/>
  <c r="BM47" i="23"/>
  <c r="S47" i="23"/>
  <c r="FJ46" i="23"/>
  <c r="FC46" i="23"/>
  <c r="BT46" i="23"/>
  <c r="BM46" i="23"/>
  <c r="S46" i="23"/>
  <c r="FJ45" i="23"/>
  <c r="FC45" i="23"/>
  <c r="BT45" i="23"/>
  <c r="BM45" i="23"/>
  <c r="S45" i="23"/>
  <c r="FJ44" i="23"/>
  <c r="FC44" i="23"/>
  <c r="BT44" i="23"/>
  <c r="BM44" i="23"/>
  <c r="S44" i="23"/>
  <c r="FJ43" i="23"/>
  <c r="FC43" i="23"/>
  <c r="BT43" i="23"/>
  <c r="BM43" i="23"/>
  <c r="S43" i="23"/>
  <c r="FJ42" i="23"/>
  <c r="FC42" i="23"/>
  <c r="BT42" i="23"/>
  <c r="BM42" i="23"/>
  <c r="S42" i="23"/>
  <c r="FJ41" i="23"/>
  <c r="FC41" i="23"/>
  <c r="BT41" i="23"/>
  <c r="BM41" i="23"/>
  <c r="S41" i="23"/>
  <c r="FJ40" i="23"/>
  <c r="FC40" i="23"/>
  <c r="BT40" i="23"/>
  <c r="BM40" i="23"/>
  <c r="S40" i="23"/>
  <c r="FJ39" i="23"/>
  <c r="FC39" i="23"/>
  <c r="BT39" i="23"/>
  <c r="BM39" i="23"/>
  <c r="S39" i="23"/>
  <c r="FJ38" i="23"/>
  <c r="FC38" i="23"/>
  <c r="BT38" i="23"/>
  <c r="BM38" i="23"/>
  <c r="S38" i="23"/>
  <c r="FJ37" i="23"/>
  <c r="FC37" i="23"/>
  <c r="BT37" i="23"/>
  <c r="BM37" i="23"/>
  <c r="S37" i="23"/>
  <c r="FJ36" i="23"/>
  <c r="FC36" i="23"/>
  <c r="BT36" i="23"/>
  <c r="BM36" i="23"/>
  <c r="S36" i="23"/>
  <c r="FJ35" i="23"/>
  <c r="FC35" i="23"/>
  <c r="BT35" i="23"/>
  <c r="BM35" i="23"/>
  <c r="S35" i="23"/>
  <c r="FJ34" i="23"/>
  <c r="FC34" i="23"/>
  <c r="BT34" i="23"/>
  <c r="BM34" i="23"/>
  <c r="S34" i="23"/>
  <c r="FJ33" i="23"/>
  <c r="FC33" i="23"/>
  <c r="BT33" i="23"/>
  <c r="BM33" i="23"/>
  <c r="S33" i="23"/>
  <c r="FJ32" i="23"/>
  <c r="FC32" i="23"/>
  <c r="DE32" i="23"/>
  <c r="BT32" i="23"/>
  <c r="BM32" i="23"/>
  <c r="S32" i="23"/>
  <c r="FJ31" i="23"/>
  <c r="FC31" i="23"/>
  <c r="DE31" i="23"/>
  <c r="BT31" i="23"/>
  <c r="BM31" i="23"/>
  <c r="S31" i="23"/>
  <c r="FJ30" i="23"/>
  <c r="FC30" i="23"/>
  <c r="DE30" i="23"/>
  <c r="BT30" i="23"/>
  <c r="BM30" i="23"/>
  <c r="S30" i="23"/>
  <c r="FJ29" i="23"/>
  <c r="FC29" i="23"/>
  <c r="DE29" i="23"/>
  <c r="BT29" i="23"/>
  <c r="BM29" i="23"/>
  <c r="S29" i="23"/>
  <c r="FJ28" i="23"/>
  <c r="FC28" i="23"/>
  <c r="DE28" i="23"/>
  <c r="BT28" i="23"/>
  <c r="BM28" i="23"/>
  <c r="S28" i="23"/>
  <c r="FJ27" i="23"/>
  <c r="FC27" i="23"/>
  <c r="DE27" i="23"/>
  <c r="BT27" i="23"/>
  <c r="BM27" i="23"/>
  <c r="S27" i="23"/>
  <c r="FJ26" i="23"/>
  <c r="FC26" i="23"/>
  <c r="DE26" i="23"/>
  <c r="BT26" i="23"/>
  <c r="BM26" i="23"/>
  <c r="S26" i="23"/>
  <c r="FJ25" i="23"/>
  <c r="FC25" i="23"/>
  <c r="DE25" i="23"/>
  <c r="BT25" i="23"/>
  <c r="BM25" i="23"/>
  <c r="S25" i="23"/>
  <c r="FJ24" i="23"/>
  <c r="FC24" i="23"/>
  <c r="DE24" i="23"/>
  <c r="BT24" i="23"/>
  <c r="BM24" i="23"/>
  <c r="S24" i="23"/>
  <c r="FJ23" i="23"/>
  <c r="FC23" i="23"/>
  <c r="DE23" i="23"/>
  <c r="BT23" i="23"/>
  <c r="BM23" i="23"/>
  <c r="S23" i="23"/>
  <c r="FJ22" i="23"/>
  <c r="FC22" i="23"/>
  <c r="DE22" i="23"/>
  <c r="BT22" i="23"/>
  <c r="BM22" i="23"/>
  <c r="S22" i="23"/>
  <c r="FJ21" i="23"/>
  <c r="FC21" i="23"/>
  <c r="DE21" i="23"/>
  <c r="BT21" i="23"/>
  <c r="BM21" i="23"/>
  <c r="S21" i="23"/>
  <c r="FJ20" i="23"/>
  <c r="FC20" i="23"/>
  <c r="DE20" i="23"/>
  <c r="BT20" i="23"/>
  <c r="BM20" i="23"/>
  <c r="S20" i="23"/>
  <c r="FJ19" i="23"/>
  <c r="FC19" i="23"/>
  <c r="DE19" i="23"/>
  <c r="BT19" i="23"/>
  <c r="BM19" i="23"/>
  <c r="S19" i="23"/>
  <c r="FJ18" i="23"/>
  <c r="FC18" i="23"/>
  <c r="DE18" i="23"/>
  <c r="BT18" i="23"/>
  <c r="BM18" i="23"/>
  <c r="S18" i="23"/>
  <c r="FJ17" i="23"/>
  <c r="FC17" i="23"/>
  <c r="DE17" i="23"/>
  <c r="BT17" i="23"/>
  <c r="BM17" i="23"/>
  <c r="S17" i="23"/>
  <c r="FJ16" i="23"/>
  <c r="FC16" i="23"/>
  <c r="DE16" i="23"/>
  <c r="BT16" i="23"/>
  <c r="BM16" i="23"/>
  <c r="S16" i="23"/>
  <c r="FJ15" i="23"/>
  <c r="FC15" i="23"/>
  <c r="DE15" i="23"/>
  <c r="BT15" i="23"/>
  <c r="BM15" i="23"/>
  <c r="S15" i="23"/>
  <c r="FJ14" i="23"/>
  <c r="FC14" i="23"/>
  <c r="DE14" i="23"/>
  <c r="BT14" i="23"/>
  <c r="BM14" i="23"/>
  <c r="S14" i="23"/>
  <c r="FJ13" i="23"/>
  <c r="FC13" i="23"/>
  <c r="DE13" i="23"/>
  <c r="BT13" i="23"/>
  <c r="BM13" i="23"/>
  <c r="S13" i="23"/>
  <c r="FJ12" i="23"/>
  <c r="FC12" i="23"/>
  <c r="DE12" i="23"/>
  <c r="BT12" i="23"/>
  <c r="BM12" i="23"/>
  <c r="S12" i="23"/>
  <c r="FJ11" i="23"/>
  <c r="FC11" i="23"/>
  <c r="DE11" i="23"/>
  <c r="BT11" i="23"/>
  <c r="BM11" i="23"/>
  <c r="S11" i="23"/>
  <c r="FJ10" i="23"/>
  <c r="FC10" i="23"/>
  <c r="DE10" i="23"/>
  <c r="BT10" i="23"/>
  <c r="BM10" i="23"/>
  <c r="S10" i="23"/>
  <c r="FJ9" i="23"/>
  <c r="FC9" i="23"/>
  <c r="DX9" i="23"/>
  <c r="DW9" i="23"/>
  <c r="DV9" i="23"/>
  <c r="DT9" i="23"/>
  <c r="DS9" i="23"/>
  <c r="DR9" i="23"/>
  <c r="DQ9" i="23"/>
  <c r="DP9" i="23"/>
  <c r="DO9" i="23"/>
  <c r="DN9" i="23"/>
  <c r="DM9" i="23"/>
  <c r="DL9" i="23"/>
  <c r="DK9" i="23"/>
  <c r="DE9" i="23"/>
  <c r="BT9" i="23"/>
  <c r="BM9" i="23"/>
  <c r="S9" i="23"/>
  <c r="FJ8" i="23"/>
  <c r="FC8" i="23"/>
  <c r="DE8" i="23"/>
  <c r="BT8" i="23"/>
  <c r="BM8" i="23"/>
  <c r="S8" i="23"/>
  <c r="DX7" i="23"/>
  <c r="DW7" i="23"/>
  <c r="DV7" i="23"/>
  <c r="DU7" i="23"/>
  <c r="DT7" i="23"/>
  <c r="DS7" i="23"/>
  <c r="DR7" i="23"/>
  <c r="DQ7" i="23"/>
  <c r="DP7" i="23"/>
  <c r="DO7" i="23"/>
  <c r="DN7" i="23"/>
  <c r="DM7" i="23"/>
  <c r="DL7" i="23"/>
  <c r="DK7" i="23"/>
  <c r="ET19" i="5" l="1"/>
  <c r="ET20" i="5"/>
  <c r="ET21" i="5"/>
  <c r="ET22" i="5"/>
  <c r="ET23" i="5"/>
  <c r="ES19" i="5"/>
  <c r="ES20" i="5"/>
  <c r="ES21" i="5"/>
  <c r="ES22" i="5"/>
  <c r="ES23" i="5"/>
  <c r="BB44" i="5"/>
  <c r="BB45" i="5"/>
  <c r="BB46" i="5"/>
  <c r="BB47" i="5"/>
  <c r="BB48" i="5"/>
  <c r="BB49" i="5"/>
  <c r="BB50" i="5"/>
  <c r="BB51" i="5"/>
  <c r="BB52" i="5"/>
  <c r="BB43" i="5"/>
  <c r="AZ44" i="5"/>
  <c r="BA44" i="5" s="1"/>
  <c r="AZ45" i="5"/>
  <c r="BA45" i="5" s="1"/>
  <c r="AZ46" i="5"/>
  <c r="BA46" i="5" s="1"/>
  <c r="AZ47" i="5"/>
  <c r="BA47" i="5" s="1"/>
  <c r="AZ48" i="5"/>
  <c r="BA48" i="5" s="1"/>
  <c r="AZ49" i="5"/>
  <c r="BA49" i="5" s="1"/>
  <c r="AZ50" i="5"/>
  <c r="BA50" i="5" s="1"/>
  <c r="AZ51" i="5"/>
  <c r="BA51" i="5" s="1"/>
  <c r="AZ52" i="5"/>
  <c r="BA52" i="5" s="1"/>
  <c r="AZ43" i="5"/>
  <c r="BA43" i="5" s="1"/>
  <c r="CC10" i="5"/>
  <c r="CC11" i="5"/>
  <c r="CC12" i="5"/>
  <c r="CC13" i="5"/>
  <c r="CC14" i="5"/>
  <c r="CC15" i="5"/>
  <c r="CC16" i="5"/>
  <c r="CC17" i="5"/>
  <c r="CC18" i="5"/>
  <c r="CC19" i="5"/>
  <c r="CC20" i="5"/>
  <c r="CC21" i="5"/>
  <c r="CC22" i="5"/>
  <c r="CC23" i="5"/>
  <c r="CC9" i="5"/>
  <c r="AAL14" i="2" l="1"/>
  <c r="AAL7" i="2"/>
  <c r="AAL6" i="2"/>
  <c r="EV10" i="5" l="1"/>
  <c r="EW10" i="5"/>
  <c r="EV11" i="5"/>
  <c r="EW11" i="5"/>
  <c r="EV12" i="5"/>
  <c r="EW12" i="5"/>
  <c r="EV13" i="5"/>
  <c r="EW13" i="5"/>
  <c r="EV14" i="5"/>
  <c r="EW14" i="5"/>
  <c r="EV15" i="5"/>
  <c r="EW15" i="5"/>
  <c r="EV16" i="5"/>
  <c r="EW16" i="5"/>
  <c r="EV17" i="5"/>
  <c r="EW17" i="5"/>
  <c r="EV18" i="5"/>
  <c r="EW18" i="5"/>
  <c r="EV19" i="5"/>
  <c r="EW19" i="5"/>
  <c r="EV20" i="5"/>
  <c r="EW20" i="5"/>
  <c r="EV21" i="5"/>
  <c r="EW21" i="5"/>
  <c r="EV22" i="5"/>
  <c r="EW22" i="5"/>
  <c r="EV23" i="5"/>
  <c r="EW23" i="5"/>
  <c r="EW9" i="5"/>
  <c r="EV9" i="5"/>
  <c r="EF10" i="5"/>
  <c r="EF11" i="5"/>
  <c r="EF12" i="5"/>
  <c r="EF13" i="5"/>
  <c r="EF14" i="5"/>
  <c r="EF15" i="5"/>
  <c r="EF16" i="5"/>
  <c r="EF17" i="5"/>
  <c r="EF18" i="5"/>
  <c r="EF19" i="5"/>
  <c r="EF20" i="5"/>
  <c r="EF21" i="5"/>
  <c r="EF22" i="5"/>
  <c r="EF23" i="5"/>
  <c r="EF9" i="5"/>
  <c r="EE10" i="5"/>
  <c r="EE11" i="5"/>
  <c r="EE12" i="5"/>
  <c r="EE13" i="5"/>
  <c r="EE14" i="5"/>
  <c r="EE15" i="5"/>
  <c r="EE16" i="5"/>
  <c r="EE17" i="5"/>
  <c r="EE18" i="5"/>
  <c r="EE19" i="5"/>
  <c r="EE20" i="5"/>
  <c r="EE21" i="5"/>
  <c r="EE22" i="5"/>
  <c r="EE23" i="5"/>
  <c r="EE9" i="5"/>
  <c r="DY10" i="5"/>
  <c r="DY11" i="5"/>
  <c r="DY12" i="5"/>
  <c r="DY13" i="5"/>
  <c r="DY14" i="5"/>
  <c r="DY15" i="5"/>
  <c r="DY16" i="5"/>
  <c r="DY17" i="5"/>
  <c r="DY18" i="5"/>
  <c r="DY19" i="5"/>
  <c r="DY20" i="5"/>
  <c r="DY21" i="5"/>
  <c r="DY22" i="5"/>
  <c r="DY23" i="5"/>
  <c r="DY9" i="5"/>
  <c r="DX10" i="5"/>
  <c r="DX11" i="5"/>
  <c r="DX12" i="5"/>
  <c r="DX13" i="5"/>
  <c r="DX14" i="5"/>
  <c r="DX15" i="5"/>
  <c r="DX16" i="5"/>
  <c r="DX17" i="5"/>
  <c r="DX18" i="5"/>
  <c r="DX19" i="5"/>
  <c r="DX20" i="5"/>
  <c r="DX21" i="5"/>
  <c r="DX22" i="5"/>
  <c r="DX23" i="5"/>
  <c r="DX9" i="5"/>
  <c r="DW10" i="5"/>
  <c r="DW11" i="5"/>
  <c r="DW12" i="5"/>
  <c r="DW13" i="5"/>
  <c r="DW14" i="5"/>
  <c r="DW15" i="5"/>
  <c r="DW16" i="5"/>
  <c r="DW17" i="5"/>
  <c r="DW18" i="5"/>
  <c r="DW19" i="5"/>
  <c r="DW20" i="5"/>
  <c r="DW21" i="5"/>
  <c r="DW22" i="5"/>
  <c r="DW23" i="5"/>
  <c r="DW9" i="5"/>
  <c r="DL10" i="5"/>
  <c r="DL11" i="5"/>
  <c r="DL12" i="5"/>
  <c r="DL13" i="5"/>
  <c r="DL14" i="5"/>
  <c r="DL15" i="5"/>
  <c r="DL16" i="5"/>
  <c r="DL17" i="5"/>
  <c r="DL18" i="5"/>
  <c r="DL19" i="5"/>
  <c r="DL20" i="5"/>
  <c r="DL21" i="5"/>
  <c r="DL22" i="5"/>
  <c r="DL23" i="5"/>
  <c r="DL9" i="5"/>
  <c r="CE10" i="5"/>
  <c r="CE11" i="5"/>
  <c r="CE12" i="5"/>
  <c r="CE13" i="5"/>
  <c r="CE14" i="5"/>
  <c r="CE15" i="5"/>
  <c r="CE16" i="5"/>
  <c r="CE17" i="5"/>
  <c r="CE18" i="5"/>
  <c r="CE19" i="5"/>
  <c r="CE20" i="5"/>
  <c r="CE21" i="5"/>
  <c r="CE22" i="5"/>
  <c r="CE23" i="5"/>
  <c r="CE9" i="5"/>
  <c r="FL25" i="2"/>
  <c r="FJ25" i="2"/>
  <c r="FI25" i="2"/>
  <c r="FH25" i="2"/>
  <c r="FL24" i="2"/>
  <c r="FJ24" i="2"/>
  <c r="FI24" i="2"/>
  <c r="FH24" i="2"/>
  <c r="FL23" i="2"/>
  <c r="FJ23" i="2"/>
  <c r="FI23" i="2"/>
  <c r="FH23" i="2"/>
  <c r="FL22" i="2"/>
  <c r="FJ22" i="2"/>
  <c r="FI22" i="2"/>
  <c r="FH22" i="2"/>
  <c r="FL21" i="2"/>
  <c r="FJ21" i="2"/>
  <c r="FI21" i="2"/>
  <c r="FH21" i="2"/>
  <c r="FL20" i="2"/>
  <c r="FJ20" i="2"/>
  <c r="FI20" i="2"/>
  <c r="FH20" i="2"/>
  <c r="FL19" i="2"/>
  <c r="FJ19" i="2"/>
  <c r="FI19" i="2"/>
  <c r="FH19" i="2"/>
  <c r="EX23" i="5" l="1"/>
  <c r="EX21" i="5"/>
  <c r="EX17" i="5"/>
  <c r="EX22" i="5"/>
  <c r="EX20" i="5"/>
  <c r="EX19" i="5"/>
  <c r="EX18" i="5"/>
  <c r="EX16" i="5"/>
  <c r="EX15" i="5"/>
  <c r="EX14" i="5"/>
  <c r="EX13" i="5"/>
  <c r="EX9" i="5"/>
  <c r="EX12" i="5"/>
  <c r="EX11" i="5"/>
  <c r="EX10" i="5"/>
  <c r="BO9" i="22" l="1"/>
  <c r="BQ9" i="22" s="1"/>
  <c r="BO10" i="22"/>
  <c r="BQ10" i="22" s="1"/>
  <c r="BO11" i="22"/>
  <c r="BQ11" i="22" s="1"/>
  <c r="BO12" i="22"/>
  <c r="BQ12" i="22" s="1"/>
  <c r="BO13" i="22"/>
  <c r="BQ13" i="22" s="1"/>
  <c r="BO14" i="22"/>
  <c r="BQ14" i="22" s="1"/>
  <c r="BO15" i="22"/>
  <c r="BQ15" i="22" s="1"/>
  <c r="BO16" i="22"/>
  <c r="BQ16" i="22" s="1"/>
  <c r="BO17" i="22"/>
  <c r="BQ17" i="22" s="1"/>
  <c r="BO18" i="22"/>
  <c r="BQ18" i="22" s="1"/>
  <c r="BO19" i="22"/>
  <c r="BQ19" i="22" s="1"/>
  <c r="BO20" i="22"/>
  <c r="BQ20" i="22" s="1"/>
  <c r="BO21" i="22"/>
  <c r="BQ21" i="22" s="1"/>
  <c r="BO22" i="22"/>
  <c r="BQ22" i="22" s="1"/>
  <c r="BO23" i="22"/>
  <c r="BQ23" i="22" s="1"/>
  <c r="BO24" i="22"/>
  <c r="BQ24" i="22" s="1"/>
  <c r="BO25" i="22"/>
  <c r="BQ25" i="22" s="1"/>
  <c r="BO26" i="22"/>
  <c r="BQ26" i="22" s="1"/>
  <c r="BO27" i="22"/>
  <c r="BQ27" i="22" s="1"/>
  <c r="BO28" i="22"/>
  <c r="BQ28" i="22" s="1"/>
  <c r="BO29" i="22"/>
  <c r="BQ29" i="22" s="1"/>
  <c r="BO30" i="22"/>
  <c r="BQ30" i="22" s="1"/>
  <c r="BO31" i="22"/>
  <c r="BQ31" i="22" s="1"/>
  <c r="BO32" i="22"/>
  <c r="BQ32" i="22" s="1"/>
  <c r="BO33" i="22"/>
  <c r="BQ33" i="22" s="1"/>
  <c r="BO34" i="22"/>
  <c r="BQ34" i="22" s="1"/>
  <c r="BO35" i="22"/>
  <c r="BQ35" i="22" s="1"/>
  <c r="BO36" i="22"/>
  <c r="BQ36" i="22" s="1"/>
  <c r="BO37" i="22"/>
  <c r="BQ37" i="22" s="1"/>
  <c r="BO38" i="22"/>
  <c r="BQ38" i="22" s="1"/>
  <c r="BO39" i="22"/>
  <c r="BQ39" i="22" s="1"/>
  <c r="BO40" i="22"/>
  <c r="BQ40" i="22" s="1"/>
  <c r="BO41" i="22"/>
  <c r="BQ41" i="22" s="1"/>
  <c r="BO42" i="22"/>
  <c r="BQ42" i="22" s="1"/>
  <c r="BO43" i="22"/>
  <c r="BQ43" i="22" s="1"/>
  <c r="BO44" i="22"/>
  <c r="BQ44" i="22" s="1"/>
  <c r="BO45" i="22"/>
  <c r="BQ45" i="22" s="1"/>
  <c r="BO46" i="22"/>
  <c r="BQ46" i="22" s="1"/>
  <c r="BO47" i="22"/>
  <c r="BQ47" i="22" s="1"/>
  <c r="BO48" i="22"/>
  <c r="BQ48" i="22" s="1"/>
  <c r="BO49" i="22"/>
  <c r="BQ49" i="22" s="1"/>
  <c r="BO50" i="22"/>
  <c r="BQ50" i="22" s="1"/>
  <c r="BO51" i="22"/>
  <c r="BQ51" i="22" s="1"/>
  <c r="BO52" i="22"/>
  <c r="BQ52" i="22" s="1"/>
  <c r="BO53" i="22"/>
  <c r="BQ53" i="22" s="1"/>
  <c r="BO54" i="22"/>
  <c r="BQ54" i="22" s="1"/>
  <c r="BO55" i="22"/>
  <c r="BQ55" i="22" s="1"/>
  <c r="BO56" i="22"/>
  <c r="BQ56" i="22" s="1"/>
  <c r="BO57" i="22"/>
  <c r="BQ57" i="22" s="1"/>
  <c r="BK9" i="22"/>
  <c r="BK10" i="22"/>
  <c r="BK11" i="22"/>
  <c r="BK12" i="22"/>
  <c r="BK13" i="22"/>
  <c r="BK14" i="22"/>
  <c r="BK15" i="22"/>
  <c r="BK16" i="22"/>
  <c r="BK17" i="22"/>
  <c r="BK18" i="22"/>
  <c r="BK19" i="22"/>
  <c r="BK20" i="22"/>
  <c r="BK21" i="22"/>
  <c r="BK22" i="22"/>
  <c r="BK23" i="22"/>
  <c r="BK24" i="22"/>
  <c r="BK25" i="22"/>
  <c r="BK26" i="22"/>
  <c r="BK27" i="22"/>
  <c r="BK28" i="22"/>
  <c r="BK29" i="22"/>
  <c r="BK30" i="22"/>
  <c r="BK31" i="22"/>
  <c r="BK32" i="22"/>
  <c r="BK33" i="22"/>
  <c r="BK34" i="22"/>
  <c r="BK35" i="22"/>
  <c r="BK36" i="22"/>
  <c r="BK37" i="22"/>
  <c r="BK38" i="22"/>
  <c r="BK39" i="22"/>
  <c r="BK40" i="22"/>
  <c r="BK41" i="22"/>
  <c r="BK42" i="22"/>
  <c r="BK43" i="22"/>
  <c r="BK44" i="22"/>
  <c r="BK45" i="22"/>
  <c r="BK46" i="22"/>
  <c r="BK47" i="22"/>
  <c r="BK48" i="22"/>
  <c r="BK49" i="22"/>
  <c r="BK50" i="22"/>
  <c r="BK51" i="22"/>
  <c r="BK52" i="22"/>
  <c r="BK53" i="22"/>
  <c r="BK54" i="22"/>
  <c r="BK55" i="22"/>
  <c r="BK56" i="22"/>
  <c r="BK57" i="22"/>
  <c r="BK8" i="22"/>
  <c r="BJ9" i="22"/>
  <c r="BJ10" i="22"/>
  <c r="BJ11" i="22"/>
  <c r="BJ12" i="22"/>
  <c r="BJ13" i="22"/>
  <c r="BJ14" i="22"/>
  <c r="BJ15" i="22"/>
  <c r="BJ16" i="22"/>
  <c r="BJ17" i="22"/>
  <c r="BJ18" i="22"/>
  <c r="BJ19" i="22"/>
  <c r="BJ20" i="22"/>
  <c r="BJ21" i="22"/>
  <c r="BJ22" i="22"/>
  <c r="BJ23" i="22"/>
  <c r="BJ24" i="22"/>
  <c r="BJ25" i="22"/>
  <c r="BJ26" i="22"/>
  <c r="BJ27" i="22"/>
  <c r="BJ28" i="22"/>
  <c r="BJ29" i="22"/>
  <c r="BJ30" i="22"/>
  <c r="BJ31" i="22"/>
  <c r="BJ32" i="22"/>
  <c r="BJ33" i="22"/>
  <c r="BJ34" i="22"/>
  <c r="BJ35" i="22"/>
  <c r="BJ36" i="22"/>
  <c r="BJ37" i="22"/>
  <c r="BJ38" i="22"/>
  <c r="BJ39" i="22"/>
  <c r="BJ40" i="22"/>
  <c r="BJ41" i="22"/>
  <c r="BJ42" i="22"/>
  <c r="BJ43" i="22"/>
  <c r="BJ44" i="22"/>
  <c r="BJ45" i="22"/>
  <c r="BJ46" i="22"/>
  <c r="BJ47" i="22"/>
  <c r="BJ48" i="22"/>
  <c r="BJ49" i="22"/>
  <c r="BJ50" i="22"/>
  <c r="BJ51" i="22"/>
  <c r="BJ52" i="22"/>
  <c r="BJ53" i="22"/>
  <c r="BJ54" i="22"/>
  <c r="BJ55" i="22"/>
  <c r="BJ56" i="22"/>
  <c r="BJ57" i="22"/>
  <c r="BJ8" i="22"/>
  <c r="BI9" i="22"/>
  <c r="BI10" i="22"/>
  <c r="BI11" i="22"/>
  <c r="BI12" i="22"/>
  <c r="BI13" i="22"/>
  <c r="BI14" i="22"/>
  <c r="BI15" i="22"/>
  <c r="BI16" i="22"/>
  <c r="BI17" i="22"/>
  <c r="BI18" i="22"/>
  <c r="BI19" i="22"/>
  <c r="BI20" i="22"/>
  <c r="BI21" i="22"/>
  <c r="BI22" i="22"/>
  <c r="BI23" i="22"/>
  <c r="BI24" i="22"/>
  <c r="BI25" i="22"/>
  <c r="BI26" i="22"/>
  <c r="BI27" i="22"/>
  <c r="BI28" i="22"/>
  <c r="BI29" i="22"/>
  <c r="BI30" i="22"/>
  <c r="BI31" i="22"/>
  <c r="BI32" i="22"/>
  <c r="BI33" i="22"/>
  <c r="BI34" i="22"/>
  <c r="BI35" i="22"/>
  <c r="BI36" i="22"/>
  <c r="BI37" i="22"/>
  <c r="BI38" i="22"/>
  <c r="BI39" i="22"/>
  <c r="BI40" i="22"/>
  <c r="BI41" i="22"/>
  <c r="BI42" i="22"/>
  <c r="BI43" i="22"/>
  <c r="BI44" i="22"/>
  <c r="BI45" i="22"/>
  <c r="BI46" i="22"/>
  <c r="BI47" i="22"/>
  <c r="BI48" i="22"/>
  <c r="BI49" i="22"/>
  <c r="BI50" i="22"/>
  <c r="BI51" i="22"/>
  <c r="BI52" i="22"/>
  <c r="BI53" i="22"/>
  <c r="BI54" i="22"/>
  <c r="BI55" i="22"/>
  <c r="BI56" i="22"/>
  <c r="BI57" i="22"/>
  <c r="BI8" i="22"/>
  <c r="BO8" i="22"/>
  <c r="BQ8" i="22" s="1"/>
  <c r="BP8" i="22" l="1"/>
  <c r="BR8" i="22" s="1"/>
  <c r="BP57" i="22"/>
  <c r="BR57" i="22" s="1"/>
  <c r="BP56" i="22"/>
  <c r="BR56" i="22" s="1"/>
  <c r="BP55" i="22"/>
  <c r="BR55" i="22" s="1"/>
  <c r="BP54" i="22"/>
  <c r="BR54" i="22" s="1"/>
  <c r="BP53" i="22"/>
  <c r="BR53" i="22" s="1"/>
  <c r="BP52" i="22"/>
  <c r="BR52" i="22" s="1"/>
  <c r="BP51" i="22"/>
  <c r="BR51" i="22" s="1"/>
  <c r="BP50" i="22"/>
  <c r="BR50" i="22" s="1"/>
  <c r="BP49" i="22"/>
  <c r="BR49" i="22" s="1"/>
  <c r="BP48" i="22"/>
  <c r="BR48" i="22" s="1"/>
  <c r="BP47" i="22"/>
  <c r="BR47" i="22" s="1"/>
  <c r="BP46" i="22"/>
  <c r="BR46" i="22" s="1"/>
  <c r="BP45" i="22"/>
  <c r="BR45" i="22" s="1"/>
  <c r="BP44" i="22"/>
  <c r="BR44" i="22" s="1"/>
  <c r="BP43" i="22"/>
  <c r="BR43" i="22" s="1"/>
  <c r="BP42" i="22"/>
  <c r="BR42" i="22" s="1"/>
  <c r="BP41" i="22"/>
  <c r="BR41" i="22" s="1"/>
  <c r="BP40" i="22"/>
  <c r="BR40" i="22" s="1"/>
  <c r="BP39" i="22"/>
  <c r="BR39" i="22" s="1"/>
  <c r="BP38" i="22"/>
  <c r="BR38" i="22" s="1"/>
  <c r="BP37" i="22"/>
  <c r="BR37" i="22" s="1"/>
  <c r="BP36" i="22"/>
  <c r="BR36" i="22" s="1"/>
  <c r="BP35" i="22"/>
  <c r="BR35" i="22" s="1"/>
  <c r="BP34" i="22"/>
  <c r="BR34" i="22" s="1"/>
  <c r="BP33" i="22"/>
  <c r="BR33" i="22" s="1"/>
  <c r="BP32" i="22"/>
  <c r="BR32" i="22" s="1"/>
  <c r="BP31" i="22"/>
  <c r="BR31" i="22" s="1"/>
  <c r="BP30" i="22"/>
  <c r="BR30" i="22" s="1"/>
  <c r="BP29" i="22"/>
  <c r="BR29" i="22" s="1"/>
  <c r="BP28" i="22"/>
  <c r="BR28" i="22" s="1"/>
  <c r="BP27" i="22"/>
  <c r="BR27" i="22" s="1"/>
  <c r="BP26" i="22"/>
  <c r="BR26" i="22" s="1"/>
  <c r="BP25" i="22"/>
  <c r="BR25" i="22" s="1"/>
  <c r="BP24" i="22"/>
  <c r="BR24" i="22" s="1"/>
  <c r="BP23" i="22"/>
  <c r="BR23" i="22" s="1"/>
  <c r="BP22" i="22"/>
  <c r="BR22" i="22" s="1"/>
  <c r="BP21" i="22"/>
  <c r="BR21" i="22" s="1"/>
  <c r="BP20" i="22"/>
  <c r="BR20" i="22" s="1"/>
  <c r="BP19" i="22"/>
  <c r="BR19" i="22" s="1"/>
  <c r="BP18" i="22"/>
  <c r="BR18" i="22" s="1"/>
  <c r="BP17" i="22"/>
  <c r="BR17" i="22" s="1"/>
  <c r="BP16" i="22"/>
  <c r="BR16" i="22" s="1"/>
  <c r="BP15" i="22"/>
  <c r="BR15" i="22" s="1"/>
  <c r="BP14" i="22"/>
  <c r="BR14" i="22" s="1"/>
  <c r="BP13" i="22"/>
  <c r="BR13" i="22" s="1"/>
  <c r="BP12" i="22"/>
  <c r="BR12" i="22" s="1"/>
  <c r="BP11" i="22"/>
  <c r="BR11" i="22" s="1"/>
  <c r="BP10" i="22"/>
  <c r="BR10" i="22" s="1"/>
  <c r="BP9" i="22"/>
  <c r="BR9" i="22" s="1"/>
  <c r="BH9" i="8" l="1"/>
  <c r="BH10" i="8"/>
  <c r="BH11" i="8"/>
  <c r="BH12" i="8"/>
  <c r="BH13" i="8"/>
  <c r="BH14" i="8"/>
  <c r="BH15" i="8"/>
  <c r="BH16" i="8"/>
  <c r="BH17" i="8"/>
  <c r="BH18" i="8"/>
  <c r="BH19" i="8"/>
  <c r="BH20" i="8"/>
  <c r="BH21" i="8"/>
  <c r="BH22" i="8"/>
  <c r="BH23" i="8"/>
  <c r="BH24" i="8"/>
  <c r="BH25" i="8"/>
  <c r="BH26" i="8"/>
  <c r="BH27" i="8"/>
  <c r="BH28" i="8"/>
  <c r="BH29" i="8"/>
  <c r="BH30" i="8"/>
  <c r="BH31" i="8"/>
  <c r="BH32" i="8"/>
  <c r="BH33" i="8"/>
  <c r="BH34" i="8"/>
  <c r="BH35" i="8"/>
  <c r="BH36" i="8"/>
  <c r="BH37" i="8"/>
  <c r="BH38" i="8"/>
  <c r="BH39" i="8"/>
  <c r="BH40" i="8"/>
  <c r="BH41" i="8"/>
  <c r="BH42" i="8"/>
  <c r="BH43" i="8"/>
  <c r="BH44" i="8"/>
  <c r="BH45" i="8"/>
  <c r="BH46" i="8"/>
  <c r="BH47" i="8"/>
  <c r="BH48" i="8"/>
  <c r="BH49" i="8"/>
  <c r="BH50" i="8"/>
  <c r="BH51" i="8"/>
  <c r="BH52" i="8"/>
  <c r="BH53" i="8"/>
  <c r="BH54" i="8"/>
  <c r="BH55" i="8"/>
  <c r="BH56" i="8"/>
  <c r="BH57" i="8"/>
  <c r="BI9" i="8"/>
  <c r="BI10" i="8"/>
  <c r="BI11" i="8"/>
  <c r="BI12" i="8"/>
  <c r="BI13" i="8"/>
  <c r="BI14" i="8"/>
  <c r="BI15" i="8"/>
  <c r="BI16" i="8"/>
  <c r="BI17" i="8"/>
  <c r="BI18" i="8"/>
  <c r="BI19" i="8"/>
  <c r="BI20" i="8"/>
  <c r="BI21" i="8"/>
  <c r="BI22" i="8"/>
  <c r="BI23" i="8"/>
  <c r="BI24" i="8"/>
  <c r="BI25" i="8"/>
  <c r="BI26" i="8"/>
  <c r="BI27" i="8"/>
  <c r="BI28" i="8"/>
  <c r="BI29" i="8"/>
  <c r="BI30" i="8"/>
  <c r="BI31" i="8"/>
  <c r="BI32" i="8"/>
  <c r="BI33" i="8"/>
  <c r="BI34" i="8"/>
  <c r="BI35" i="8"/>
  <c r="BI36" i="8"/>
  <c r="BI37" i="8"/>
  <c r="BI38" i="8"/>
  <c r="BI39" i="8"/>
  <c r="BI40" i="8"/>
  <c r="BI41" i="8"/>
  <c r="BI42" i="8"/>
  <c r="BI43" i="8"/>
  <c r="BI44" i="8"/>
  <c r="BI45" i="8"/>
  <c r="BI46" i="8"/>
  <c r="BI47" i="8"/>
  <c r="BI48" i="8"/>
  <c r="BI49" i="8"/>
  <c r="BI50" i="8"/>
  <c r="BI51" i="8"/>
  <c r="BI52" i="8"/>
  <c r="BI53" i="8"/>
  <c r="BI54" i="8"/>
  <c r="BI55" i="8"/>
  <c r="BI56" i="8"/>
  <c r="BI57" i="8"/>
  <c r="BI8" i="8"/>
  <c r="BH8" i="8"/>
  <c r="BG9" i="8"/>
  <c r="BG10" i="8"/>
  <c r="BG11" i="8"/>
  <c r="BG12" i="8"/>
  <c r="BG13" i="8"/>
  <c r="BG14" i="8"/>
  <c r="BG15" i="8"/>
  <c r="BG16" i="8"/>
  <c r="BG17" i="8"/>
  <c r="BG18" i="8"/>
  <c r="BG19" i="8"/>
  <c r="BG20" i="8"/>
  <c r="BG21" i="8"/>
  <c r="BG22" i="8"/>
  <c r="BG23" i="8"/>
  <c r="BG24" i="8"/>
  <c r="BG25" i="8"/>
  <c r="BG26" i="8"/>
  <c r="BG27" i="8"/>
  <c r="BG28" i="8"/>
  <c r="BG29" i="8"/>
  <c r="BG30" i="8"/>
  <c r="BG31" i="8"/>
  <c r="BG32" i="8"/>
  <c r="BG33" i="8"/>
  <c r="BG34" i="8"/>
  <c r="BG35" i="8"/>
  <c r="BG36" i="8"/>
  <c r="BG37" i="8"/>
  <c r="BG38" i="8"/>
  <c r="BG39" i="8"/>
  <c r="BG40" i="8"/>
  <c r="BG41" i="8"/>
  <c r="BG42" i="8"/>
  <c r="BG43" i="8"/>
  <c r="BG44" i="8"/>
  <c r="BG45" i="8"/>
  <c r="BG46" i="8"/>
  <c r="BG47" i="8"/>
  <c r="BG48" i="8"/>
  <c r="BG49" i="8"/>
  <c r="BG50" i="8"/>
  <c r="BG51" i="8"/>
  <c r="BG52" i="8"/>
  <c r="BG53" i="8"/>
  <c r="BG54" i="8"/>
  <c r="BG55" i="8"/>
  <c r="BG56" i="8"/>
  <c r="BG57" i="8"/>
  <c r="BG8" i="8"/>
  <c r="PV16" i="2"/>
  <c r="PV17" i="2"/>
  <c r="PV18" i="2"/>
  <c r="PV19" i="2"/>
  <c r="PV20" i="2"/>
  <c r="PV15" i="2"/>
  <c r="PV14" i="2"/>
  <c r="PV13" i="2"/>
  <c r="BM9" i="22" l="1"/>
  <c r="BM11" i="22"/>
  <c r="BM12" i="22"/>
  <c r="BM13" i="22"/>
  <c r="BM14" i="22"/>
  <c r="BM15" i="22"/>
  <c r="BM16" i="22"/>
  <c r="BM17" i="22"/>
  <c r="BM18" i="22"/>
  <c r="BM19" i="22"/>
  <c r="BM20" i="22"/>
  <c r="BM21" i="22"/>
  <c r="BM22" i="22"/>
  <c r="BM23" i="22"/>
  <c r="BM24" i="22"/>
  <c r="BM25" i="22"/>
  <c r="BM26" i="22"/>
  <c r="BM27" i="22"/>
  <c r="BM28" i="22"/>
  <c r="BM29" i="22"/>
  <c r="BM30" i="22"/>
  <c r="BM31" i="22"/>
  <c r="BM32" i="22"/>
  <c r="BM33" i="22"/>
  <c r="BM34" i="22"/>
  <c r="BM35" i="22"/>
  <c r="BM36" i="22"/>
  <c r="BM37" i="22"/>
  <c r="BM38" i="22"/>
  <c r="BM39" i="22"/>
  <c r="BM40" i="22"/>
  <c r="BM41" i="22"/>
  <c r="BM42" i="22"/>
  <c r="BM43" i="22"/>
  <c r="BM44" i="22"/>
  <c r="BM45" i="22"/>
  <c r="BM46" i="22"/>
  <c r="BM47" i="22"/>
  <c r="BM48" i="22"/>
  <c r="BM49" i="22"/>
  <c r="BM50" i="22"/>
  <c r="BM51" i="22"/>
  <c r="BM52" i="22"/>
  <c r="BM53" i="22"/>
  <c r="BM54" i="22"/>
  <c r="BM55" i="22"/>
  <c r="BM56" i="22"/>
  <c r="BM57" i="22"/>
  <c r="BL9" i="22"/>
  <c r="BL11" i="22"/>
  <c r="BL12" i="22"/>
  <c r="BL13" i="22"/>
  <c r="BL14" i="22"/>
  <c r="BL15" i="22"/>
  <c r="BL16" i="22"/>
  <c r="BL17" i="22"/>
  <c r="BL18" i="22"/>
  <c r="BL19" i="22"/>
  <c r="BL20" i="22"/>
  <c r="BL21" i="22"/>
  <c r="BL22" i="22"/>
  <c r="BN22" i="22" s="1"/>
  <c r="BL23" i="22"/>
  <c r="BL24" i="22"/>
  <c r="BL25" i="22"/>
  <c r="BL26" i="22"/>
  <c r="BL27" i="22"/>
  <c r="BL28" i="22"/>
  <c r="BL29" i="22"/>
  <c r="BL30" i="22"/>
  <c r="BL31" i="22"/>
  <c r="BL32" i="22"/>
  <c r="BL33" i="22"/>
  <c r="BL34" i="22"/>
  <c r="BL35" i="22"/>
  <c r="BL36" i="22"/>
  <c r="BL37" i="22"/>
  <c r="BL38" i="22"/>
  <c r="BL39" i="22"/>
  <c r="BL40" i="22"/>
  <c r="BL41" i="22"/>
  <c r="BL42" i="22"/>
  <c r="BL43" i="22"/>
  <c r="BN43" i="22" s="1"/>
  <c r="BL44" i="22"/>
  <c r="BL45" i="22"/>
  <c r="BL46" i="22"/>
  <c r="BL47" i="22"/>
  <c r="BL48" i="22"/>
  <c r="BL49" i="22"/>
  <c r="BL50" i="22"/>
  <c r="BL51" i="22"/>
  <c r="BL52" i="22"/>
  <c r="BL53" i="22"/>
  <c r="BL54" i="22"/>
  <c r="BL55" i="22"/>
  <c r="BL56" i="22"/>
  <c r="BL57" i="22"/>
  <c r="BM10" i="22"/>
  <c r="BL10" i="22"/>
  <c r="BM8" i="22"/>
  <c r="BL8" i="22"/>
  <c r="Y9" i="22"/>
  <c r="X9" i="22" s="1"/>
  <c r="Y10" i="22"/>
  <c r="X10" i="22" s="1"/>
  <c r="Y11" i="22"/>
  <c r="X11" i="22" s="1"/>
  <c r="Y12" i="22"/>
  <c r="X12" i="22" s="1"/>
  <c r="Y13" i="22"/>
  <c r="X13" i="22" s="1"/>
  <c r="Y14" i="22"/>
  <c r="X14" i="22" s="1"/>
  <c r="Y15" i="22"/>
  <c r="AA15" i="22" s="1"/>
  <c r="Y16" i="22"/>
  <c r="X16" i="22" s="1"/>
  <c r="Y17" i="22"/>
  <c r="X17" i="22" s="1"/>
  <c r="Y18" i="22"/>
  <c r="X18" i="22" s="1"/>
  <c r="Y19" i="22"/>
  <c r="AA19" i="22" s="1"/>
  <c r="Y20" i="22"/>
  <c r="X20" i="22" s="1"/>
  <c r="Y21" i="22"/>
  <c r="X21" i="22" s="1"/>
  <c r="Y22" i="22"/>
  <c r="X22" i="22" s="1"/>
  <c r="Y23" i="22"/>
  <c r="AA23" i="22" s="1"/>
  <c r="Y24" i="22"/>
  <c r="X24" i="22" s="1"/>
  <c r="Y25" i="22"/>
  <c r="X25" i="22" s="1"/>
  <c r="Y26" i="22"/>
  <c r="X26" i="22" s="1"/>
  <c r="Y27" i="22"/>
  <c r="X27" i="22" s="1"/>
  <c r="Y28" i="22"/>
  <c r="X28" i="22" s="1"/>
  <c r="Y29" i="22"/>
  <c r="X29" i="22" s="1"/>
  <c r="Y30" i="22"/>
  <c r="X30" i="22" s="1"/>
  <c r="Y31" i="22"/>
  <c r="AA31" i="22" s="1"/>
  <c r="Y32" i="22"/>
  <c r="X32" i="22" s="1"/>
  <c r="Y33" i="22"/>
  <c r="X33" i="22" s="1"/>
  <c r="Y34" i="22"/>
  <c r="X34" i="22" s="1"/>
  <c r="Y35" i="22"/>
  <c r="AA35" i="22" s="1"/>
  <c r="Y36" i="22"/>
  <c r="X36" i="22" s="1"/>
  <c r="Y37" i="22"/>
  <c r="X37" i="22" s="1"/>
  <c r="Y38" i="22"/>
  <c r="X38" i="22" s="1"/>
  <c r="Y39" i="22"/>
  <c r="AA39" i="22" s="1"/>
  <c r="Y40" i="22"/>
  <c r="X40" i="22" s="1"/>
  <c r="Y41" i="22"/>
  <c r="X41" i="22" s="1"/>
  <c r="Y42" i="22"/>
  <c r="X42" i="22" s="1"/>
  <c r="Y43" i="22"/>
  <c r="X43" i="22" s="1"/>
  <c r="Y44" i="22"/>
  <c r="X44" i="22" s="1"/>
  <c r="Y45" i="22"/>
  <c r="X45" i="22" s="1"/>
  <c r="Y46" i="22"/>
  <c r="X46" i="22" s="1"/>
  <c r="Y47" i="22"/>
  <c r="AA47" i="22" s="1"/>
  <c r="Y48" i="22"/>
  <c r="X48" i="22" s="1"/>
  <c r="Y49" i="22"/>
  <c r="X49" i="22" s="1"/>
  <c r="Y50" i="22"/>
  <c r="X50" i="22" s="1"/>
  <c r="Y51" i="22"/>
  <c r="AA51" i="22" s="1"/>
  <c r="Y52" i="22"/>
  <c r="X52" i="22" s="1"/>
  <c r="Y53" i="22"/>
  <c r="X53" i="22" s="1"/>
  <c r="Y54" i="22"/>
  <c r="X54" i="22" s="1"/>
  <c r="Y55" i="22"/>
  <c r="AA55" i="22" s="1"/>
  <c r="Y56" i="22"/>
  <c r="X56" i="22" s="1"/>
  <c r="Y57" i="22"/>
  <c r="X57" i="22" s="1"/>
  <c r="Y8" i="22"/>
  <c r="X8" i="22" s="1"/>
  <c r="X51" i="22" l="1"/>
  <c r="X35" i="22"/>
  <c r="X19" i="22"/>
  <c r="AA57" i="22"/>
  <c r="AA25" i="22"/>
  <c r="AA43" i="22"/>
  <c r="X39" i="22"/>
  <c r="AA27" i="22"/>
  <c r="X55" i="22"/>
  <c r="X23" i="22"/>
  <c r="X47" i="22"/>
  <c r="X31" i="22"/>
  <c r="X15" i="22"/>
  <c r="AA41" i="22"/>
  <c r="AA11" i="22"/>
  <c r="AA49" i="22"/>
  <c r="AA33" i="22"/>
  <c r="AA17" i="22"/>
  <c r="AA53" i="22"/>
  <c r="AA45" i="22"/>
  <c r="AA37" i="22"/>
  <c r="AA29" i="22"/>
  <c r="AA21" i="22"/>
  <c r="AA13" i="22"/>
  <c r="AA54" i="22"/>
  <c r="AA50" i="22"/>
  <c r="AA46" i="22"/>
  <c r="AA42" i="22"/>
  <c r="AA38" i="22"/>
  <c r="AA34" i="22"/>
  <c r="AA30" i="22"/>
  <c r="AA26" i="22"/>
  <c r="AA22" i="22"/>
  <c r="AA18" i="22"/>
  <c r="AA14" i="22"/>
  <c r="AA10" i="22"/>
  <c r="AA56" i="22"/>
  <c r="AA52" i="22"/>
  <c r="AA48" i="22"/>
  <c r="AA44" i="22"/>
  <c r="AA40" i="22"/>
  <c r="AA36" i="22"/>
  <c r="AA32" i="22"/>
  <c r="AA28" i="22"/>
  <c r="AA24" i="22"/>
  <c r="AA20" i="22"/>
  <c r="AA16" i="22"/>
  <c r="AA12" i="22"/>
  <c r="BN53" i="22"/>
  <c r="BN37" i="22"/>
  <c r="BN21" i="22"/>
  <c r="BN54" i="22"/>
  <c r="BN42" i="22"/>
  <c r="BN26" i="22"/>
  <c r="BN10" i="22"/>
  <c r="BN55" i="22"/>
  <c r="BN51" i="22"/>
  <c r="BN47" i="22"/>
  <c r="BN39" i="22"/>
  <c r="BN35" i="22"/>
  <c r="BN31" i="22"/>
  <c r="BN27" i="22"/>
  <c r="BN23" i="22"/>
  <c r="BN19" i="22"/>
  <c r="BN15" i="22"/>
  <c r="BN11" i="22"/>
  <c r="AA9" i="22"/>
  <c r="BN38" i="22"/>
  <c r="BN57" i="22"/>
  <c r="BN49" i="22"/>
  <c r="BN45" i="22"/>
  <c r="BN41" i="22"/>
  <c r="BN33" i="22"/>
  <c r="BN29" i="22"/>
  <c r="BN25" i="22"/>
  <c r="BN17" i="22"/>
  <c r="BN13" i="22"/>
  <c r="BN9" i="22"/>
  <c r="BN50" i="22"/>
  <c r="BN46" i="22"/>
  <c r="BN34" i="22"/>
  <c r="BN30" i="22"/>
  <c r="BN18" i="22"/>
  <c r="BN14" i="22"/>
  <c r="BN8" i="22"/>
  <c r="BN56" i="22"/>
  <c r="BN52" i="22"/>
  <c r="BN48" i="22"/>
  <c r="BN44" i="22"/>
  <c r="BN40" i="22"/>
  <c r="BN36" i="22"/>
  <c r="BN32" i="22"/>
  <c r="BN28" i="22"/>
  <c r="BN24" i="22"/>
  <c r="BN20" i="22"/>
  <c r="BN16" i="22"/>
  <c r="BN12" i="22"/>
  <c r="AA8" i="22"/>
  <c r="BH9" i="22" l="1"/>
  <c r="BH10" i="22"/>
  <c r="BH11" i="22"/>
  <c r="BH12" i="22"/>
  <c r="BH13" i="22"/>
  <c r="BH14" i="22"/>
  <c r="BH15" i="22"/>
  <c r="BH16" i="22"/>
  <c r="BH17" i="22"/>
  <c r="BH18" i="22"/>
  <c r="BH19" i="22"/>
  <c r="BH20" i="22"/>
  <c r="BH21" i="22"/>
  <c r="BH22" i="22"/>
  <c r="BH23" i="22"/>
  <c r="BH24" i="22"/>
  <c r="BH25" i="22"/>
  <c r="BH26" i="22"/>
  <c r="BH27" i="22"/>
  <c r="BH28" i="22"/>
  <c r="BH29" i="22"/>
  <c r="BH30" i="22"/>
  <c r="BH31" i="22"/>
  <c r="BH32" i="22"/>
  <c r="BH33" i="22"/>
  <c r="BH34" i="22"/>
  <c r="BH35" i="22"/>
  <c r="BH36" i="22"/>
  <c r="BH37" i="22"/>
  <c r="BH38" i="22"/>
  <c r="BH39" i="22"/>
  <c r="BH40" i="22"/>
  <c r="BH41" i="22"/>
  <c r="BH42" i="22"/>
  <c r="BH43" i="22"/>
  <c r="BH44" i="22"/>
  <c r="BH45" i="22"/>
  <c r="BH46" i="22"/>
  <c r="BH47" i="22"/>
  <c r="BH48" i="22"/>
  <c r="BH49" i="22"/>
  <c r="BH50" i="22"/>
  <c r="BH51" i="22"/>
  <c r="BH52" i="22"/>
  <c r="BH53" i="22"/>
  <c r="BH54" i="22"/>
  <c r="BH55" i="22"/>
  <c r="BH56" i="22"/>
  <c r="BH57" i="22"/>
  <c r="BH8" i="22"/>
  <c r="BF57" i="22"/>
  <c r="BE57" i="22"/>
  <c r="BD57" i="22"/>
  <c r="BC57" i="22"/>
  <c r="BB57" i="22"/>
  <c r="AW57" i="22"/>
  <c r="AV57" i="22"/>
  <c r="AX57" i="22" s="1"/>
  <c r="AL57" i="22"/>
  <c r="AJ57" i="22"/>
  <c r="AH57" i="22"/>
  <c r="AE57" i="22"/>
  <c r="AD57" i="22"/>
  <c r="BF56" i="22"/>
  <c r="BE56" i="22"/>
  <c r="BD56" i="22"/>
  <c r="BC56" i="22"/>
  <c r="BB56" i="22"/>
  <c r="AW56" i="22"/>
  <c r="AV56" i="22"/>
  <c r="AX56" i="22" s="1"/>
  <c r="AL56" i="22"/>
  <c r="AJ56" i="22"/>
  <c r="AH56" i="22"/>
  <c r="AE56" i="22"/>
  <c r="AD56" i="22"/>
  <c r="BF55" i="22"/>
  <c r="BE55" i="22"/>
  <c r="BD55" i="22"/>
  <c r="BC55" i="22"/>
  <c r="BB55" i="22"/>
  <c r="AW55" i="22"/>
  <c r="AV55" i="22"/>
  <c r="AX55" i="22" s="1"/>
  <c r="AL55" i="22"/>
  <c r="AJ55" i="22"/>
  <c r="AH55" i="22"/>
  <c r="AE55" i="22"/>
  <c r="AD55" i="22"/>
  <c r="BF54" i="22"/>
  <c r="BE54" i="22"/>
  <c r="BD54" i="22"/>
  <c r="BC54" i="22"/>
  <c r="BB54" i="22"/>
  <c r="AW54" i="22"/>
  <c r="AV54" i="22"/>
  <c r="AX54" i="22" s="1"/>
  <c r="AL54" i="22"/>
  <c r="AJ54" i="22"/>
  <c r="AH54" i="22"/>
  <c r="AE54" i="22"/>
  <c r="AD54" i="22"/>
  <c r="BF53" i="22"/>
  <c r="BE53" i="22"/>
  <c r="BD53" i="22"/>
  <c r="BC53" i="22"/>
  <c r="BB53" i="22"/>
  <c r="AW53" i="22"/>
  <c r="AV53" i="22"/>
  <c r="AX53" i="22" s="1"/>
  <c r="AL53" i="22"/>
  <c r="AJ53" i="22"/>
  <c r="AH53" i="22"/>
  <c r="AE53" i="22"/>
  <c r="AD53" i="22"/>
  <c r="BF52" i="22"/>
  <c r="BE52" i="22"/>
  <c r="BD52" i="22"/>
  <c r="BC52" i="22"/>
  <c r="BB52" i="22"/>
  <c r="AW52" i="22"/>
  <c r="AV52" i="22"/>
  <c r="AX52" i="22" s="1"/>
  <c r="AL52" i="22"/>
  <c r="AJ52" i="22"/>
  <c r="AH52" i="22"/>
  <c r="AE52" i="22"/>
  <c r="AD52" i="22"/>
  <c r="BF51" i="22"/>
  <c r="BE51" i="22"/>
  <c r="BD51" i="22"/>
  <c r="BC51" i="22"/>
  <c r="BB51" i="22"/>
  <c r="AW51" i="22"/>
  <c r="AV51" i="22"/>
  <c r="AX51" i="22" s="1"/>
  <c r="AL51" i="22"/>
  <c r="AJ51" i="22"/>
  <c r="AH51" i="22"/>
  <c r="AE51" i="22"/>
  <c r="AD51" i="22"/>
  <c r="BF50" i="22"/>
  <c r="BE50" i="22"/>
  <c r="BD50" i="22"/>
  <c r="BC50" i="22"/>
  <c r="BB50" i="22"/>
  <c r="AW50" i="22"/>
  <c r="AV50" i="22"/>
  <c r="AX50" i="22" s="1"/>
  <c r="AL50" i="22"/>
  <c r="AJ50" i="22"/>
  <c r="AH50" i="22"/>
  <c r="AE50" i="22"/>
  <c r="AD50" i="22"/>
  <c r="BF49" i="22"/>
  <c r="BE49" i="22"/>
  <c r="BD49" i="22"/>
  <c r="BC49" i="22"/>
  <c r="BB49" i="22"/>
  <c r="AW49" i="22"/>
  <c r="AV49" i="22"/>
  <c r="AX49" i="22" s="1"/>
  <c r="AL49" i="22"/>
  <c r="AJ49" i="22"/>
  <c r="AH49" i="22"/>
  <c r="AE49" i="22"/>
  <c r="AD49" i="22"/>
  <c r="BF48" i="22"/>
  <c r="BE48" i="22"/>
  <c r="BD48" i="22"/>
  <c r="BC48" i="22"/>
  <c r="BB48" i="22"/>
  <c r="AW48" i="22"/>
  <c r="AV48" i="22"/>
  <c r="AX48" i="22" s="1"/>
  <c r="AL48" i="22"/>
  <c r="AJ48" i="22"/>
  <c r="AH48" i="22"/>
  <c r="AE48" i="22"/>
  <c r="AD48" i="22"/>
  <c r="BF47" i="22"/>
  <c r="BE47" i="22"/>
  <c r="BD47" i="22"/>
  <c r="BC47" i="22"/>
  <c r="BB47" i="22"/>
  <c r="AW47" i="22"/>
  <c r="AV47" i="22"/>
  <c r="AX47" i="22" s="1"/>
  <c r="AL47" i="22"/>
  <c r="AJ47" i="22"/>
  <c r="AH47" i="22"/>
  <c r="AE47" i="22"/>
  <c r="AD47" i="22"/>
  <c r="BF46" i="22"/>
  <c r="BE46" i="22"/>
  <c r="BD46" i="22"/>
  <c r="BC46" i="22"/>
  <c r="BB46" i="22"/>
  <c r="AW46" i="22"/>
  <c r="AV46" i="22"/>
  <c r="AX46" i="22" s="1"/>
  <c r="AL46" i="22"/>
  <c r="AJ46" i="22"/>
  <c r="AH46" i="22"/>
  <c r="AE46" i="22"/>
  <c r="AD46" i="22"/>
  <c r="BF45" i="22"/>
  <c r="BE45" i="22"/>
  <c r="BD45" i="22"/>
  <c r="BC45" i="22"/>
  <c r="BB45" i="22"/>
  <c r="AW45" i="22"/>
  <c r="AV45" i="22"/>
  <c r="AX45" i="22" s="1"/>
  <c r="AL45" i="22"/>
  <c r="AJ45" i="22"/>
  <c r="AH45" i="22"/>
  <c r="AE45" i="22"/>
  <c r="AD45" i="22"/>
  <c r="BF44" i="22"/>
  <c r="BE44" i="22"/>
  <c r="BD44" i="22"/>
  <c r="BC44" i="22"/>
  <c r="BB44" i="22"/>
  <c r="AW44" i="22"/>
  <c r="AV44" i="22"/>
  <c r="AX44" i="22" s="1"/>
  <c r="AL44" i="22"/>
  <c r="AJ44" i="22"/>
  <c r="AH44" i="22"/>
  <c r="AE44" i="22"/>
  <c r="AD44" i="22"/>
  <c r="BF43" i="22"/>
  <c r="BE43" i="22"/>
  <c r="BD43" i="22"/>
  <c r="BC43" i="22"/>
  <c r="BB43" i="22"/>
  <c r="AW43" i="22"/>
  <c r="AV43" i="22"/>
  <c r="AX43" i="22" s="1"/>
  <c r="AL43" i="22"/>
  <c r="AJ43" i="22"/>
  <c r="AH43" i="22"/>
  <c r="AE43" i="22"/>
  <c r="AD43" i="22"/>
  <c r="BF42" i="22"/>
  <c r="BE42" i="22"/>
  <c r="BD42" i="22"/>
  <c r="BC42" i="22"/>
  <c r="BB42" i="22"/>
  <c r="AW42" i="22"/>
  <c r="AV42" i="22"/>
  <c r="AX42" i="22" s="1"/>
  <c r="AL42" i="22"/>
  <c r="AJ42" i="22"/>
  <c r="AH42" i="22"/>
  <c r="AE42" i="22"/>
  <c r="AD42" i="22"/>
  <c r="BF41" i="22"/>
  <c r="BE41" i="22"/>
  <c r="BD41" i="22"/>
  <c r="BC41" i="22"/>
  <c r="BB41" i="22"/>
  <c r="AW41" i="22"/>
  <c r="AV41" i="22"/>
  <c r="AX41" i="22" s="1"/>
  <c r="AL41" i="22"/>
  <c r="AJ41" i="22"/>
  <c r="AH41" i="22"/>
  <c r="AE41" i="22"/>
  <c r="AD41" i="22"/>
  <c r="BF40" i="22"/>
  <c r="BE40" i="22"/>
  <c r="BD40" i="22"/>
  <c r="BC40" i="22"/>
  <c r="BB40" i="22"/>
  <c r="AW40" i="22"/>
  <c r="AV40" i="22"/>
  <c r="AX40" i="22" s="1"/>
  <c r="AL40" i="22"/>
  <c r="AJ40" i="22"/>
  <c r="AH40" i="22"/>
  <c r="AE40" i="22"/>
  <c r="AD40" i="22"/>
  <c r="BF39" i="22"/>
  <c r="BE39" i="22"/>
  <c r="BD39" i="22"/>
  <c r="BC39" i="22"/>
  <c r="BB39" i="22"/>
  <c r="AW39" i="22"/>
  <c r="AV39" i="22"/>
  <c r="AX39" i="22" s="1"/>
  <c r="AL39" i="22"/>
  <c r="AJ39" i="22"/>
  <c r="AH39" i="22"/>
  <c r="AE39" i="22"/>
  <c r="AD39" i="22"/>
  <c r="BF38" i="22"/>
  <c r="BE38" i="22"/>
  <c r="BD38" i="22"/>
  <c r="BC38" i="22"/>
  <c r="BB38" i="22"/>
  <c r="AW38" i="22"/>
  <c r="AV38" i="22"/>
  <c r="AX38" i="22" s="1"/>
  <c r="AL38" i="22"/>
  <c r="AJ38" i="22"/>
  <c r="AH38" i="22"/>
  <c r="AE38" i="22"/>
  <c r="AD38" i="22"/>
  <c r="BF37" i="22"/>
  <c r="BE37" i="22"/>
  <c r="BD37" i="22"/>
  <c r="BC37" i="22"/>
  <c r="BB37" i="22"/>
  <c r="AW37" i="22"/>
  <c r="AV37" i="22"/>
  <c r="AX37" i="22" s="1"/>
  <c r="AL37" i="22"/>
  <c r="AJ37" i="22"/>
  <c r="AH37" i="22"/>
  <c r="AE37" i="22"/>
  <c r="AD37" i="22"/>
  <c r="BF36" i="22"/>
  <c r="BE36" i="22"/>
  <c r="BD36" i="22"/>
  <c r="BC36" i="22"/>
  <c r="BB36" i="22"/>
  <c r="AW36" i="22"/>
  <c r="AV36" i="22"/>
  <c r="AX36" i="22" s="1"/>
  <c r="AL36" i="22"/>
  <c r="AJ36" i="22"/>
  <c r="AH36" i="22"/>
  <c r="AE36" i="22"/>
  <c r="AD36" i="22"/>
  <c r="BF35" i="22"/>
  <c r="BE35" i="22"/>
  <c r="BD35" i="22"/>
  <c r="BC35" i="22"/>
  <c r="BB35" i="22"/>
  <c r="AW35" i="22"/>
  <c r="AV35" i="22"/>
  <c r="AX35" i="22" s="1"/>
  <c r="AL35" i="22"/>
  <c r="AJ35" i="22"/>
  <c r="AH35" i="22"/>
  <c r="AE35" i="22"/>
  <c r="AD35" i="22"/>
  <c r="BF34" i="22"/>
  <c r="BE34" i="22"/>
  <c r="BD34" i="22"/>
  <c r="BC34" i="22"/>
  <c r="BB34" i="22"/>
  <c r="AW34" i="22"/>
  <c r="AV34" i="22"/>
  <c r="AX34" i="22" s="1"/>
  <c r="AL34" i="22"/>
  <c r="AJ34" i="22"/>
  <c r="AH34" i="22"/>
  <c r="AE34" i="22"/>
  <c r="AD34" i="22"/>
  <c r="BF33" i="22"/>
  <c r="BE33" i="22"/>
  <c r="BD33" i="22"/>
  <c r="BC33" i="22"/>
  <c r="BB33" i="22"/>
  <c r="AW33" i="22"/>
  <c r="AV33" i="22"/>
  <c r="AX33" i="22" s="1"/>
  <c r="AL33" i="22"/>
  <c r="AJ33" i="22"/>
  <c r="AH33" i="22"/>
  <c r="AE33" i="22"/>
  <c r="AD33" i="22"/>
  <c r="BF32" i="22"/>
  <c r="BE32" i="22"/>
  <c r="BD32" i="22"/>
  <c r="BC32" i="22"/>
  <c r="BB32" i="22"/>
  <c r="AW32" i="22"/>
  <c r="AV32" i="22"/>
  <c r="AX32" i="22" s="1"/>
  <c r="AL32" i="22"/>
  <c r="AJ32" i="22"/>
  <c r="AH32" i="22"/>
  <c r="AE32" i="22"/>
  <c r="AD32" i="22"/>
  <c r="BF31" i="22"/>
  <c r="BE31" i="22"/>
  <c r="BD31" i="22"/>
  <c r="BC31" i="22"/>
  <c r="BB31" i="22"/>
  <c r="AW31" i="22"/>
  <c r="AV31" i="22"/>
  <c r="AX31" i="22" s="1"/>
  <c r="AL31" i="22"/>
  <c r="AJ31" i="22"/>
  <c r="AH31" i="22"/>
  <c r="AE31" i="22"/>
  <c r="AD31" i="22"/>
  <c r="BF30" i="22"/>
  <c r="BE30" i="22"/>
  <c r="BD30" i="22"/>
  <c r="BC30" i="22"/>
  <c r="BB30" i="22"/>
  <c r="AW30" i="22"/>
  <c r="AV30" i="22"/>
  <c r="AX30" i="22" s="1"/>
  <c r="AL30" i="22"/>
  <c r="AJ30" i="22"/>
  <c r="AH30" i="22"/>
  <c r="AE30" i="22"/>
  <c r="AD30" i="22"/>
  <c r="BF29" i="22"/>
  <c r="BE29" i="22"/>
  <c r="BD29" i="22"/>
  <c r="BC29" i="22"/>
  <c r="BB29" i="22"/>
  <c r="AW29" i="22"/>
  <c r="AV29" i="22"/>
  <c r="AX29" i="22" s="1"/>
  <c r="AL29" i="22"/>
  <c r="AJ29" i="22"/>
  <c r="AH29" i="22"/>
  <c r="AE29" i="22"/>
  <c r="AD29" i="22"/>
  <c r="BF28" i="22"/>
  <c r="BE28" i="22"/>
  <c r="BD28" i="22"/>
  <c r="BC28" i="22"/>
  <c r="BB28" i="22"/>
  <c r="AW28" i="22"/>
  <c r="AV28" i="22"/>
  <c r="AX28" i="22" s="1"/>
  <c r="AL28" i="22"/>
  <c r="AJ28" i="22"/>
  <c r="AH28" i="22"/>
  <c r="AE28" i="22"/>
  <c r="AD28" i="22"/>
  <c r="BF27" i="22"/>
  <c r="BE27" i="22"/>
  <c r="BD27" i="22"/>
  <c r="BC27" i="22"/>
  <c r="BB27" i="22"/>
  <c r="AW27" i="22"/>
  <c r="AV27" i="22"/>
  <c r="AX27" i="22" s="1"/>
  <c r="AL27" i="22"/>
  <c r="AJ27" i="22"/>
  <c r="AH27" i="22"/>
  <c r="AE27" i="22"/>
  <c r="AD27" i="22"/>
  <c r="BF26" i="22"/>
  <c r="BE26" i="22"/>
  <c r="BD26" i="22"/>
  <c r="BC26" i="22"/>
  <c r="BB26" i="22"/>
  <c r="AW26" i="22"/>
  <c r="AV26" i="22"/>
  <c r="AX26" i="22" s="1"/>
  <c r="AL26" i="22"/>
  <c r="AJ26" i="22"/>
  <c r="AH26" i="22"/>
  <c r="AE26" i="22"/>
  <c r="AD26" i="22"/>
  <c r="BF25" i="22"/>
  <c r="BE25" i="22"/>
  <c r="BD25" i="22"/>
  <c r="BC25" i="22"/>
  <c r="BB25" i="22"/>
  <c r="AW25" i="22"/>
  <c r="AV25" i="22"/>
  <c r="AX25" i="22" s="1"/>
  <c r="AL25" i="22"/>
  <c r="AJ25" i="22"/>
  <c r="AH25" i="22"/>
  <c r="AE25" i="22"/>
  <c r="AD25" i="22"/>
  <c r="BF24" i="22"/>
  <c r="BE24" i="22"/>
  <c r="BD24" i="22"/>
  <c r="BC24" i="22"/>
  <c r="BB24" i="22"/>
  <c r="AW24" i="22"/>
  <c r="AV24" i="22"/>
  <c r="AX24" i="22" s="1"/>
  <c r="AL24" i="22"/>
  <c r="AJ24" i="22"/>
  <c r="AH24" i="22"/>
  <c r="AE24" i="22"/>
  <c r="AD24" i="22"/>
  <c r="BF23" i="22"/>
  <c r="BE23" i="22"/>
  <c r="BD23" i="22"/>
  <c r="BC23" i="22"/>
  <c r="BB23" i="22"/>
  <c r="AW23" i="22"/>
  <c r="AV23" i="22"/>
  <c r="AX23" i="22" s="1"/>
  <c r="AL23" i="22"/>
  <c r="AJ23" i="22"/>
  <c r="AH23" i="22"/>
  <c r="AE23" i="22"/>
  <c r="AD23" i="22"/>
  <c r="BF22" i="22"/>
  <c r="BE22" i="22"/>
  <c r="BD22" i="22"/>
  <c r="BC22" i="22"/>
  <c r="BB22" i="22"/>
  <c r="AW22" i="22"/>
  <c r="AV22" i="22"/>
  <c r="AX22" i="22" s="1"/>
  <c r="AL22" i="22"/>
  <c r="AJ22" i="22"/>
  <c r="AH22" i="22"/>
  <c r="AE22" i="22"/>
  <c r="AD22" i="22"/>
  <c r="BF21" i="22"/>
  <c r="BE21" i="22"/>
  <c r="BD21" i="22"/>
  <c r="BC21" i="22"/>
  <c r="BB21" i="22"/>
  <c r="AW21" i="22"/>
  <c r="AV21" i="22"/>
  <c r="AX21" i="22" s="1"/>
  <c r="AL21" i="22"/>
  <c r="AJ21" i="22"/>
  <c r="AH21" i="22"/>
  <c r="AE21" i="22"/>
  <c r="AD21" i="22"/>
  <c r="BF20" i="22"/>
  <c r="BE20" i="22"/>
  <c r="BD20" i="22"/>
  <c r="BC20" i="22"/>
  <c r="BB20" i="22"/>
  <c r="AW20" i="22"/>
  <c r="AV20" i="22"/>
  <c r="AX20" i="22" s="1"/>
  <c r="AL20" i="22"/>
  <c r="AJ20" i="22"/>
  <c r="AH20" i="22"/>
  <c r="AE20" i="22"/>
  <c r="AD20" i="22"/>
  <c r="BF19" i="22"/>
  <c r="BE19" i="22"/>
  <c r="BD19" i="22"/>
  <c r="BC19" i="22"/>
  <c r="BB19" i="22"/>
  <c r="AW19" i="22"/>
  <c r="AV19" i="22"/>
  <c r="AX19" i="22" s="1"/>
  <c r="AL19" i="22"/>
  <c r="AJ19" i="22"/>
  <c r="AH19" i="22"/>
  <c r="AE19" i="22"/>
  <c r="AD19" i="22"/>
  <c r="BF18" i="22"/>
  <c r="BE18" i="22"/>
  <c r="BD18" i="22"/>
  <c r="BC18" i="22"/>
  <c r="BB18" i="22"/>
  <c r="AW18" i="22"/>
  <c r="AV18" i="22"/>
  <c r="AX18" i="22" s="1"/>
  <c r="AL18" i="22"/>
  <c r="AJ18" i="22"/>
  <c r="AH18" i="22"/>
  <c r="AE18" i="22"/>
  <c r="AD18" i="22"/>
  <c r="BF17" i="22"/>
  <c r="BE17" i="22"/>
  <c r="BD17" i="22"/>
  <c r="BC17" i="22"/>
  <c r="BB17" i="22"/>
  <c r="AW17" i="22"/>
  <c r="AV17" i="22"/>
  <c r="AX17" i="22" s="1"/>
  <c r="AL17" i="22"/>
  <c r="AJ17" i="22"/>
  <c r="AH17" i="22"/>
  <c r="AE17" i="22"/>
  <c r="AD17" i="22"/>
  <c r="BF16" i="22"/>
  <c r="BE16" i="22"/>
  <c r="BD16" i="22"/>
  <c r="BC16" i="22"/>
  <c r="BB16" i="22"/>
  <c r="AW16" i="22"/>
  <c r="AV16" i="22"/>
  <c r="AX16" i="22" s="1"/>
  <c r="AL16" i="22"/>
  <c r="AJ16" i="22"/>
  <c r="AH16" i="22"/>
  <c r="AE16" i="22"/>
  <c r="AD16" i="22"/>
  <c r="BF15" i="22"/>
  <c r="BE15" i="22"/>
  <c r="BD15" i="22"/>
  <c r="BC15" i="22"/>
  <c r="BB15" i="22"/>
  <c r="AW15" i="22"/>
  <c r="AV15" i="22"/>
  <c r="AX15" i="22" s="1"/>
  <c r="AL15" i="22"/>
  <c r="AJ15" i="22"/>
  <c r="AH15" i="22"/>
  <c r="AE15" i="22"/>
  <c r="AD15" i="22"/>
  <c r="BF14" i="22"/>
  <c r="BE14" i="22"/>
  <c r="BD14" i="22"/>
  <c r="BC14" i="22"/>
  <c r="BB14" i="22"/>
  <c r="AW14" i="22"/>
  <c r="AV14" i="22"/>
  <c r="AX14" i="22" s="1"/>
  <c r="AL14" i="22"/>
  <c r="AJ14" i="22"/>
  <c r="AH14" i="22"/>
  <c r="AE14" i="22"/>
  <c r="AD14" i="22"/>
  <c r="AB14" i="22"/>
  <c r="BF13" i="22"/>
  <c r="BE13" i="22"/>
  <c r="BD13" i="22"/>
  <c r="BC13" i="22"/>
  <c r="BB13" i="22"/>
  <c r="AW13" i="22"/>
  <c r="AV13" i="22"/>
  <c r="AX13" i="22" s="1"/>
  <c r="AL13" i="22"/>
  <c r="AJ13" i="22"/>
  <c r="AH13" i="22"/>
  <c r="AE13" i="22"/>
  <c r="AD13" i="22"/>
  <c r="AB13" i="22"/>
  <c r="BF12" i="22"/>
  <c r="BE12" i="22"/>
  <c r="BD12" i="22"/>
  <c r="BC12" i="22"/>
  <c r="BB12" i="22"/>
  <c r="AW12" i="22"/>
  <c r="AV12" i="22"/>
  <c r="AX12" i="22" s="1"/>
  <c r="AL12" i="22"/>
  <c r="AJ12" i="22"/>
  <c r="AH12" i="22"/>
  <c r="AE12" i="22"/>
  <c r="AD12" i="22"/>
  <c r="AB12" i="22"/>
  <c r="BF11" i="22"/>
  <c r="BE11" i="22"/>
  <c r="BD11" i="22"/>
  <c r="BC11" i="22"/>
  <c r="BB11" i="22"/>
  <c r="AW11" i="22"/>
  <c r="AV11" i="22"/>
  <c r="AX11" i="22" s="1"/>
  <c r="AL11" i="22"/>
  <c r="AJ11" i="22"/>
  <c r="AH11" i="22"/>
  <c r="AE11" i="22"/>
  <c r="AD11" i="22"/>
  <c r="AB11" i="22"/>
  <c r="BF10" i="22"/>
  <c r="BE10" i="22"/>
  <c r="BD10" i="22"/>
  <c r="BC10" i="22"/>
  <c r="BB10" i="22"/>
  <c r="AW10" i="22"/>
  <c r="AV10" i="22"/>
  <c r="AX10" i="22" s="1"/>
  <c r="AL10" i="22"/>
  <c r="AJ10" i="22"/>
  <c r="AH10" i="22"/>
  <c r="AE10" i="22"/>
  <c r="AD10" i="22"/>
  <c r="AB10" i="22"/>
  <c r="BF9" i="22"/>
  <c r="BE9" i="22"/>
  <c r="BD9" i="22"/>
  <c r="BC9" i="22"/>
  <c r="BB9" i="22"/>
  <c r="AW9" i="22"/>
  <c r="AV9" i="22"/>
  <c r="AX9" i="22" s="1"/>
  <c r="AL9" i="22"/>
  <c r="AJ9" i="22"/>
  <c r="AH9" i="22"/>
  <c r="AE9" i="22"/>
  <c r="AD9" i="22"/>
  <c r="AB9" i="22"/>
  <c r="BF8" i="22"/>
  <c r="BE8" i="22"/>
  <c r="BD8" i="22"/>
  <c r="BC8" i="22"/>
  <c r="BB8" i="22"/>
  <c r="AW8" i="22"/>
  <c r="AV8" i="22"/>
  <c r="AX8" i="22" s="1"/>
  <c r="AL8" i="22"/>
  <c r="AJ8" i="22"/>
  <c r="AH8" i="22"/>
  <c r="AE8" i="22"/>
  <c r="AD8" i="22"/>
  <c r="AC8" i="22"/>
  <c r="AB8" i="22"/>
  <c r="M5" i="22"/>
  <c r="M4" i="22"/>
  <c r="M3" i="22"/>
  <c r="M2" i="22"/>
  <c r="M1" i="22"/>
  <c r="AQ9" i="8"/>
  <c r="AQ10" i="8"/>
  <c r="AQ11" i="8"/>
  <c r="AQ12" i="8"/>
  <c r="AQ13" i="8"/>
  <c r="AQ14" i="8"/>
  <c r="AQ15" i="8"/>
  <c r="AQ16" i="8"/>
  <c r="AQ17" i="8"/>
  <c r="AQ18" i="8"/>
  <c r="AQ19" i="8"/>
  <c r="AQ20" i="8"/>
  <c r="AQ21" i="8"/>
  <c r="AQ22" i="8"/>
  <c r="AQ23" i="8"/>
  <c r="AQ24" i="8"/>
  <c r="AQ25" i="8"/>
  <c r="AQ26" i="8"/>
  <c r="AQ27" i="8"/>
  <c r="AQ28" i="8"/>
  <c r="AQ29" i="8"/>
  <c r="AQ30" i="8"/>
  <c r="AQ31" i="8"/>
  <c r="AQ32" i="8"/>
  <c r="AQ33" i="8"/>
  <c r="AQ34" i="8"/>
  <c r="AQ35" i="8"/>
  <c r="AQ36" i="8"/>
  <c r="AQ37" i="8"/>
  <c r="AQ38" i="8"/>
  <c r="AQ39" i="8"/>
  <c r="AQ40" i="8"/>
  <c r="AQ41" i="8"/>
  <c r="AQ42" i="8"/>
  <c r="AQ43" i="8"/>
  <c r="AQ44" i="8"/>
  <c r="AQ45" i="8"/>
  <c r="AQ46" i="8"/>
  <c r="AQ47" i="8"/>
  <c r="AQ48" i="8"/>
  <c r="AQ49" i="8"/>
  <c r="AQ50" i="8"/>
  <c r="AQ51" i="8"/>
  <c r="AQ52" i="8"/>
  <c r="AQ53" i="8"/>
  <c r="AQ54" i="8"/>
  <c r="AQ55" i="8"/>
  <c r="AQ56" i="8"/>
  <c r="AQ57" i="8"/>
  <c r="AQ8" i="8"/>
  <c r="AJ9" i="8"/>
  <c r="AJ10" i="8"/>
  <c r="AJ11" i="8"/>
  <c r="AJ12" i="8"/>
  <c r="AJ13" i="8"/>
  <c r="AJ14" i="8"/>
  <c r="AJ15" i="8"/>
  <c r="AJ16" i="8"/>
  <c r="AJ17" i="8"/>
  <c r="AJ18" i="8"/>
  <c r="AJ19" i="8"/>
  <c r="AJ20" i="8"/>
  <c r="AJ21" i="8"/>
  <c r="AJ22" i="8"/>
  <c r="AJ23" i="8"/>
  <c r="AJ24" i="8"/>
  <c r="AJ25" i="8"/>
  <c r="AJ26" i="8"/>
  <c r="AJ27" i="8"/>
  <c r="AJ28" i="8"/>
  <c r="AJ29" i="8"/>
  <c r="AJ30" i="8"/>
  <c r="AJ31" i="8"/>
  <c r="AJ32" i="8"/>
  <c r="AJ33" i="8"/>
  <c r="AJ34" i="8"/>
  <c r="AJ35" i="8"/>
  <c r="AJ36" i="8"/>
  <c r="AJ37" i="8"/>
  <c r="AJ38" i="8"/>
  <c r="AJ39" i="8"/>
  <c r="AJ40" i="8"/>
  <c r="AJ41" i="8"/>
  <c r="AJ42" i="8"/>
  <c r="AJ43" i="8"/>
  <c r="AJ44" i="8"/>
  <c r="AJ45" i="8"/>
  <c r="AJ46" i="8"/>
  <c r="AJ47" i="8"/>
  <c r="AJ48" i="8"/>
  <c r="AJ49" i="8"/>
  <c r="AJ50" i="8"/>
  <c r="AJ51" i="8"/>
  <c r="AJ52" i="8"/>
  <c r="AJ53" i="8"/>
  <c r="AJ54" i="8"/>
  <c r="AJ55" i="8"/>
  <c r="AJ56" i="8"/>
  <c r="AJ57" i="8"/>
  <c r="AJ8" i="8"/>
  <c r="AM9" i="21"/>
  <c r="AM10" i="21"/>
  <c r="AM11" i="21"/>
  <c r="AM12" i="21"/>
  <c r="AM13" i="21"/>
  <c r="AM14" i="21"/>
  <c r="AM15" i="21"/>
  <c r="AM16" i="21"/>
  <c r="AM17" i="21"/>
  <c r="AM18" i="21"/>
  <c r="AM19" i="21"/>
  <c r="AM20" i="21"/>
  <c r="AM21" i="21"/>
  <c r="AM22" i="21"/>
  <c r="AM23" i="21"/>
  <c r="AM24" i="21"/>
  <c r="AM25" i="21"/>
  <c r="AM26" i="21"/>
  <c r="AM27" i="21"/>
  <c r="AM28" i="21"/>
  <c r="AM29" i="21"/>
  <c r="AM30" i="21"/>
  <c r="AM31" i="21"/>
  <c r="AM32" i="21"/>
  <c r="AM33" i="21"/>
  <c r="AM34" i="21"/>
  <c r="AM35" i="21"/>
  <c r="AM36" i="21"/>
  <c r="AM37" i="21"/>
  <c r="AM38" i="21"/>
  <c r="AM39" i="21"/>
  <c r="AM40" i="21"/>
  <c r="AM41" i="21"/>
  <c r="AM42" i="21"/>
  <c r="AM43" i="21"/>
  <c r="AM44" i="21"/>
  <c r="AM45" i="21"/>
  <c r="AM46" i="21"/>
  <c r="AM47" i="21"/>
  <c r="AM48" i="21"/>
  <c r="AM49" i="21"/>
  <c r="AM50" i="21"/>
  <c r="AM51" i="21"/>
  <c r="AM52" i="21"/>
  <c r="AM53" i="21"/>
  <c r="AM54" i="21"/>
  <c r="AM55" i="21"/>
  <c r="AM56" i="21"/>
  <c r="AM57" i="21"/>
  <c r="AM8" i="21"/>
  <c r="VQ16" i="2"/>
  <c r="VN16" i="2"/>
  <c r="VM16" i="2"/>
  <c r="AY21" i="22" l="1"/>
  <c r="AY25" i="22"/>
  <c r="BG20" i="22"/>
  <c r="BG24" i="22"/>
  <c r="BG28" i="22"/>
  <c r="AY57" i="22"/>
  <c r="AY9" i="22"/>
  <c r="AY11" i="22"/>
  <c r="AY16" i="22"/>
  <c r="BG22" i="22"/>
  <c r="BG38" i="22"/>
  <c r="BG39" i="22"/>
  <c r="BG42" i="22"/>
  <c r="BG46" i="22"/>
  <c r="BG50" i="22"/>
  <c r="BG54" i="22"/>
  <c r="BG32" i="22"/>
  <c r="AY33" i="22"/>
  <c r="BG36" i="22"/>
  <c r="AY37" i="22"/>
  <c r="AY41" i="22"/>
  <c r="AY45" i="22"/>
  <c r="AY13" i="22"/>
  <c r="AY18" i="22"/>
  <c r="BG21" i="22"/>
  <c r="AY22" i="22"/>
  <c r="AY49" i="22"/>
  <c r="AY53" i="22"/>
  <c r="BG10" i="22"/>
  <c r="AY17" i="22"/>
  <c r="BG23" i="22"/>
  <c r="BG27" i="22"/>
  <c r="AY31" i="22"/>
  <c r="AY35" i="22"/>
  <c r="AY43" i="22"/>
  <c r="AY55" i="22"/>
  <c r="AY8" i="22"/>
  <c r="AY10" i="22"/>
  <c r="AY14" i="22"/>
  <c r="BG18" i="22"/>
  <c r="AY19" i="22"/>
  <c r="AY23" i="22"/>
  <c r="BG26" i="22"/>
  <c r="AY27" i="22"/>
  <c r="BG29" i="22"/>
  <c r="AY30" i="22"/>
  <c r="BG33" i="22"/>
  <c r="AY34" i="22"/>
  <c r="BG37" i="22"/>
  <c r="AY38" i="22"/>
  <c r="BG40" i="22"/>
  <c r="BG44" i="22"/>
  <c r="BG48" i="22"/>
  <c r="BG52" i="22"/>
  <c r="BG56" i="22"/>
  <c r="BG12" i="22"/>
  <c r="BG16" i="22"/>
  <c r="BG30" i="22"/>
  <c r="BG34" i="22"/>
  <c r="AY39" i="22"/>
  <c r="AY47" i="22"/>
  <c r="AY51" i="22"/>
  <c r="BG9" i="22"/>
  <c r="BG8" i="22"/>
  <c r="BG13" i="22"/>
  <c r="BG14" i="22"/>
  <c r="BG17" i="22"/>
  <c r="BG19" i="22"/>
  <c r="AY20" i="22"/>
  <c r="BG25" i="22"/>
  <c r="AY26" i="22"/>
  <c r="AY29" i="22"/>
  <c r="BG31" i="22"/>
  <c r="AY32" i="22"/>
  <c r="BG35" i="22"/>
  <c r="AY36" i="22"/>
  <c r="AB16" i="22"/>
  <c r="BG15" i="22"/>
  <c r="AY40" i="22"/>
  <c r="AY42" i="22"/>
  <c r="AY44" i="22"/>
  <c r="AY46" i="22"/>
  <c r="AY48" i="22"/>
  <c r="AY50" i="22"/>
  <c r="AY52" i="22"/>
  <c r="AY54" i="22"/>
  <c r="AY56" i="22"/>
  <c r="BG11" i="22"/>
  <c r="AY12" i="22"/>
  <c r="AY15" i="22"/>
  <c r="AY24" i="22"/>
  <c r="AY28" i="22"/>
  <c r="BG41" i="22"/>
  <c r="BG43" i="22"/>
  <c r="BG45" i="22"/>
  <c r="BG47" i="22"/>
  <c r="BG49" i="22"/>
  <c r="BG51" i="22"/>
  <c r="BG53" i="22"/>
  <c r="BG55" i="22"/>
  <c r="BG57" i="22"/>
  <c r="AB15" i="22"/>
  <c r="AB17" i="22" l="1"/>
  <c r="AB18" i="22" s="1"/>
  <c r="M6" i="22" s="1"/>
  <c r="EJ10" i="5"/>
  <c r="EK10" i="5"/>
  <c r="EJ11" i="5"/>
  <c r="EK11" i="5"/>
  <c r="EJ12" i="5"/>
  <c r="EK12" i="5"/>
  <c r="EJ13" i="5"/>
  <c r="EK13" i="5"/>
  <c r="EJ14" i="5"/>
  <c r="EK14" i="5"/>
  <c r="EJ15" i="5"/>
  <c r="EK15" i="5"/>
  <c r="EJ16" i="5"/>
  <c r="EK16" i="5"/>
  <c r="EL16" i="5" s="1"/>
  <c r="EJ17" i="5"/>
  <c r="EK17" i="5"/>
  <c r="EJ18" i="5"/>
  <c r="EK18" i="5"/>
  <c r="EJ19" i="5"/>
  <c r="EL19" i="5" s="1"/>
  <c r="EK19" i="5"/>
  <c r="EJ20" i="5"/>
  <c r="EK20" i="5"/>
  <c r="EJ21" i="5"/>
  <c r="EK21" i="5"/>
  <c r="EJ22" i="5"/>
  <c r="EK22" i="5"/>
  <c r="EJ23" i="5"/>
  <c r="EK23" i="5"/>
  <c r="EK9" i="5"/>
  <c r="EJ9" i="5"/>
  <c r="EL20" i="5" l="1"/>
  <c r="EM20" i="5" s="1"/>
  <c r="EL22" i="5"/>
  <c r="EL21" i="5"/>
  <c r="EM21" i="5" s="1"/>
  <c r="EL14" i="5"/>
  <c r="EM14" i="5" s="1"/>
  <c r="EL13" i="5"/>
  <c r="EL17" i="5"/>
  <c r="EM17" i="5" s="1"/>
  <c r="EL15" i="5"/>
  <c r="EM15" i="5" s="1"/>
  <c r="EL12" i="5"/>
  <c r="EM12" i="5" s="1"/>
  <c r="EL10" i="5"/>
  <c r="EM10" i="5" s="1"/>
  <c r="EL9" i="5"/>
  <c r="EM9" i="5" s="1"/>
  <c r="EL23" i="5"/>
  <c r="EM23" i="5" s="1"/>
  <c r="EL18" i="5"/>
  <c r="EM18" i="5" s="1"/>
  <c r="EL11" i="5"/>
  <c r="EM11" i="5" s="1"/>
  <c r="EM22" i="5"/>
  <c r="EM13" i="5"/>
  <c r="EM19" i="5"/>
  <c r="EM16" i="5"/>
  <c r="BK9" i="8" l="1"/>
  <c r="BK10" i="8"/>
  <c r="BK11" i="8"/>
  <c r="BK12" i="8"/>
  <c r="BK13" i="8"/>
  <c r="BK14" i="8"/>
  <c r="BK15" i="8"/>
  <c r="BK16" i="8"/>
  <c r="BK17" i="8"/>
  <c r="BK18" i="8"/>
  <c r="BK19" i="8"/>
  <c r="BK20" i="8"/>
  <c r="BK21" i="8"/>
  <c r="BK22" i="8"/>
  <c r="BK23" i="8"/>
  <c r="BK24" i="8"/>
  <c r="BK25" i="8"/>
  <c r="BK26" i="8"/>
  <c r="BK27" i="8"/>
  <c r="BK28" i="8"/>
  <c r="BK29" i="8"/>
  <c r="BK30" i="8"/>
  <c r="BK31" i="8"/>
  <c r="BK32" i="8"/>
  <c r="BK33" i="8"/>
  <c r="BK34" i="8"/>
  <c r="BK35" i="8"/>
  <c r="BK36" i="8"/>
  <c r="BK37" i="8"/>
  <c r="BK38" i="8"/>
  <c r="BK39" i="8"/>
  <c r="BK40" i="8"/>
  <c r="BK41" i="8"/>
  <c r="BK42" i="8"/>
  <c r="BK43" i="8"/>
  <c r="BK44" i="8"/>
  <c r="BK45" i="8"/>
  <c r="BK46" i="8"/>
  <c r="BK47" i="8"/>
  <c r="BK48" i="8"/>
  <c r="BK49" i="8"/>
  <c r="BK50" i="8"/>
  <c r="BK51" i="8"/>
  <c r="BK52" i="8"/>
  <c r="BK53" i="8"/>
  <c r="BK54" i="8"/>
  <c r="BK55" i="8"/>
  <c r="BK56" i="8"/>
  <c r="BK57" i="8"/>
  <c r="BJ9" i="8"/>
  <c r="BJ10" i="8"/>
  <c r="BJ11" i="8"/>
  <c r="BJ12" i="8"/>
  <c r="BJ13" i="8"/>
  <c r="BJ14" i="8"/>
  <c r="BJ15" i="8"/>
  <c r="BJ16" i="8"/>
  <c r="BJ17" i="8"/>
  <c r="BJ18" i="8"/>
  <c r="BJ19" i="8"/>
  <c r="BJ20" i="8"/>
  <c r="BJ21" i="8"/>
  <c r="BJ22" i="8"/>
  <c r="BJ23" i="8"/>
  <c r="BJ24" i="8"/>
  <c r="BJ25" i="8"/>
  <c r="BJ26" i="8"/>
  <c r="BJ27" i="8"/>
  <c r="BJ28" i="8"/>
  <c r="BJ29" i="8"/>
  <c r="BJ30" i="8"/>
  <c r="BJ31" i="8"/>
  <c r="BJ32" i="8"/>
  <c r="BJ33" i="8"/>
  <c r="BJ34" i="8"/>
  <c r="BJ35" i="8"/>
  <c r="BJ36" i="8"/>
  <c r="BJ37" i="8"/>
  <c r="BJ38" i="8"/>
  <c r="BJ39" i="8"/>
  <c r="BJ40" i="8"/>
  <c r="BJ41" i="8"/>
  <c r="BJ42" i="8"/>
  <c r="BJ43" i="8"/>
  <c r="BJ44" i="8"/>
  <c r="BJ45" i="8"/>
  <c r="BJ46" i="8"/>
  <c r="BJ47" i="8"/>
  <c r="BJ48" i="8"/>
  <c r="BJ49" i="8"/>
  <c r="BJ50" i="8"/>
  <c r="BJ51" i="8"/>
  <c r="BJ52" i="8"/>
  <c r="BJ53" i="8"/>
  <c r="BJ54" i="8"/>
  <c r="BJ55" i="8"/>
  <c r="BJ56" i="8"/>
  <c r="BJ57" i="8"/>
  <c r="BL55" i="8" l="1"/>
  <c r="BL51" i="8"/>
  <c r="BL47" i="8"/>
  <c r="BL43" i="8"/>
  <c r="BL39" i="8"/>
  <c r="BL57" i="8"/>
  <c r="BL45" i="8"/>
  <c r="BL37" i="8"/>
  <c r="BL54" i="8"/>
  <c r="BL50" i="8"/>
  <c r="BL46" i="8"/>
  <c r="BL42" i="8"/>
  <c r="BL38" i="8"/>
  <c r="BL53" i="8"/>
  <c r="BL49" i="8"/>
  <c r="BL41" i="8"/>
  <c r="BL29" i="8"/>
  <c r="BL21" i="8"/>
  <c r="BL56" i="8"/>
  <c r="BL52" i="8"/>
  <c r="BL48" i="8"/>
  <c r="BL44" i="8"/>
  <c r="BL40" i="8"/>
  <c r="BL13" i="8"/>
  <c r="BL33" i="8"/>
  <c r="BL9" i="8"/>
  <c r="BL34" i="8"/>
  <c r="BL30" i="8"/>
  <c r="BL26" i="8"/>
  <c r="BL22" i="8"/>
  <c r="BL18" i="8"/>
  <c r="BL14" i="8"/>
  <c r="BL10" i="8"/>
  <c r="BL35" i="8"/>
  <c r="BL31" i="8"/>
  <c r="BL27" i="8"/>
  <c r="BL23" i="8"/>
  <c r="BL19" i="8"/>
  <c r="BL15" i="8"/>
  <c r="BL25" i="8"/>
  <c r="BL17" i="8"/>
  <c r="BL36" i="8"/>
  <c r="BL32" i="8"/>
  <c r="BL28" i="8"/>
  <c r="BL24" i="8"/>
  <c r="BL20" i="8"/>
  <c r="BL16" i="8"/>
  <c r="BL12" i="8"/>
  <c r="BL11" i="8"/>
  <c r="BK8" i="8"/>
  <c r="BJ8" i="8"/>
  <c r="AAL15" i="2"/>
  <c r="AAL13" i="2"/>
  <c r="AAL12" i="2"/>
  <c r="AAL11" i="2"/>
  <c r="AAL9" i="2"/>
  <c r="AAL8" i="2"/>
  <c r="AAL5" i="2"/>
  <c r="AAL4" i="2"/>
  <c r="AAL2" i="2"/>
  <c r="AAL3" i="2"/>
  <c r="AAM15" i="2"/>
  <c r="AAM14" i="2"/>
  <c r="AAM13" i="2"/>
  <c r="AAM12" i="2"/>
  <c r="AAM11" i="2"/>
  <c r="AAM10" i="2"/>
  <c r="AAM9" i="2"/>
  <c r="AAM8" i="2"/>
  <c r="AAM7" i="2"/>
  <c r="AAM6" i="2"/>
  <c r="AAM5" i="2"/>
  <c r="AAM4" i="2"/>
  <c r="AAM3" i="2"/>
  <c r="AAM2" i="2"/>
  <c r="AAL10" i="2"/>
  <c r="AR9" i="21"/>
  <c r="AS9" i="21" s="1"/>
  <c r="AR10" i="21"/>
  <c r="AS10" i="21" s="1"/>
  <c r="AR11" i="21"/>
  <c r="AS11" i="21" s="1"/>
  <c r="AR12" i="21"/>
  <c r="AS12" i="21" s="1"/>
  <c r="AR13" i="21"/>
  <c r="AS13" i="21" s="1"/>
  <c r="AR14" i="21"/>
  <c r="AS14" i="21" s="1"/>
  <c r="AR15" i="21"/>
  <c r="AS15" i="21" s="1"/>
  <c r="AR16" i="21"/>
  <c r="AS16" i="21" s="1"/>
  <c r="AR17" i="21"/>
  <c r="AS17" i="21" s="1"/>
  <c r="AR18" i="21"/>
  <c r="AS18" i="21" s="1"/>
  <c r="AR19" i="21"/>
  <c r="AS19" i="21" s="1"/>
  <c r="AR20" i="21"/>
  <c r="AS20" i="21" s="1"/>
  <c r="AR21" i="21"/>
  <c r="AS21" i="21" s="1"/>
  <c r="AR22" i="21"/>
  <c r="AS22" i="21" s="1"/>
  <c r="AR23" i="21"/>
  <c r="AS23" i="21" s="1"/>
  <c r="AR24" i="21"/>
  <c r="AS24" i="21" s="1"/>
  <c r="AR25" i="21"/>
  <c r="AS25" i="21" s="1"/>
  <c r="AR26" i="21"/>
  <c r="AS26" i="21" s="1"/>
  <c r="AR27" i="21"/>
  <c r="AS27" i="21" s="1"/>
  <c r="AR28" i="21"/>
  <c r="AS28" i="21" s="1"/>
  <c r="AR29" i="21"/>
  <c r="AS29" i="21" s="1"/>
  <c r="AR30" i="21"/>
  <c r="AS30" i="21" s="1"/>
  <c r="AR31" i="21"/>
  <c r="AS31" i="21" s="1"/>
  <c r="AR32" i="21"/>
  <c r="AS32" i="21" s="1"/>
  <c r="AR33" i="21"/>
  <c r="AS33" i="21" s="1"/>
  <c r="AR34" i="21"/>
  <c r="AS34" i="21" s="1"/>
  <c r="AR35" i="21"/>
  <c r="AS35" i="21" s="1"/>
  <c r="AR36" i="21"/>
  <c r="AS36" i="21" s="1"/>
  <c r="AR37" i="21"/>
  <c r="AS37" i="21" s="1"/>
  <c r="AR38" i="21"/>
  <c r="AS38" i="21" s="1"/>
  <c r="AR39" i="21"/>
  <c r="AS39" i="21" s="1"/>
  <c r="AR40" i="21"/>
  <c r="AS40" i="21" s="1"/>
  <c r="AR41" i="21"/>
  <c r="AS41" i="21" s="1"/>
  <c r="AR42" i="21"/>
  <c r="AS42" i="21" s="1"/>
  <c r="AR43" i="21"/>
  <c r="AS43" i="21" s="1"/>
  <c r="AR44" i="21"/>
  <c r="AS44" i="21" s="1"/>
  <c r="AR45" i="21"/>
  <c r="AS45" i="21" s="1"/>
  <c r="AR46" i="21"/>
  <c r="AS46" i="21" s="1"/>
  <c r="AR47" i="21"/>
  <c r="AS47" i="21" s="1"/>
  <c r="AR48" i="21"/>
  <c r="AS48" i="21" s="1"/>
  <c r="AR49" i="21"/>
  <c r="AS49" i="21" s="1"/>
  <c r="AR50" i="21"/>
  <c r="AS50" i="21" s="1"/>
  <c r="AR51" i="21"/>
  <c r="AS51" i="21" s="1"/>
  <c r="AR52" i="21"/>
  <c r="AS52" i="21" s="1"/>
  <c r="AR53" i="21"/>
  <c r="AS53" i="21" s="1"/>
  <c r="AR54" i="21"/>
  <c r="AS54" i="21" s="1"/>
  <c r="AR55" i="21"/>
  <c r="AS55" i="21" s="1"/>
  <c r="AR56" i="21"/>
  <c r="AS56" i="21" s="1"/>
  <c r="AR57" i="21"/>
  <c r="AS57" i="21" s="1"/>
  <c r="AR8" i="21"/>
  <c r="AS8" i="21" s="1"/>
  <c r="YR5" i="2"/>
  <c r="YR2" i="2"/>
  <c r="UA5" i="2"/>
  <c r="UA2" i="2"/>
  <c r="AF9" i="21"/>
  <c r="AG9" i="21" s="1"/>
  <c r="AF10" i="21"/>
  <c r="AG10" i="21" s="1"/>
  <c r="AF11" i="21"/>
  <c r="AG11" i="21" s="1"/>
  <c r="AF12" i="21"/>
  <c r="AG12" i="21" s="1"/>
  <c r="AF13" i="21"/>
  <c r="AG13" i="21" s="1"/>
  <c r="AF14" i="21"/>
  <c r="AG14" i="21" s="1"/>
  <c r="AF15" i="21"/>
  <c r="AG15" i="21" s="1"/>
  <c r="AF16" i="21"/>
  <c r="AG16" i="21" s="1"/>
  <c r="AF17" i="21"/>
  <c r="AG17" i="21" s="1"/>
  <c r="AF18" i="21"/>
  <c r="AG18" i="21" s="1"/>
  <c r="AF19" i="21"/>
  <c r="AG19" i="21" s="1"/>
  <c r="AF20" i="21"/>
  <c r="AG20" i="21" s="1"/>
  <c r="AF21" i="21"/>
  <c r="AG21" i="21" s="1"/>
  <c r="AF22" i="21"/>
  <c r="AG22" i="21" s="1"/>
  <c r="AF23" i="21"/>
  <c r="AG23" i="21" s="1"/>
  <c r="AF24" i="21"/>
  <c r="AG24" i="21" s="1"/>
  <c r="AF25" i="21"/>
  <c r="AG25" i="21" s="1"/>
  <c r="AF26" i="21"/>
  <c r="AG26" i="21" s="1"/>
  <c r="AF27" i="21"/>
  <c r="AG27" i="21" s="1"/>
  <c r="AF28" i="21"/>
  <c r="AG28" i="21" s="1"/>
  <c r="AF29" i="21"/>
  <c r="AG29" i="21" s="1"/>
  <c r="AF30" i="21"/>
  <c r="AG30" i="21" s="1"/>
  <c r="AF31" i="21"/>
  <c r="AG31" i="21" s="1"/>
  <c r="AF32" i="21"/>
  <c r="AG32" i="21" s="1"/>
  <c r="AF33" i="21"/>
  <c r="AG33" i="21" s="1"/>
  <c r="AF34" i="21"/>
  <c r="AG34" i="21" s="1"/>
  <c r="AF35" i="21"/>
  <c r="AG35" i="21" s="1"/>
  <c r="AF36" i="21"/>
  <c r="AG36" i="21" s="1"/>
  <c r="AF37" i="21"/>
  <c r="AG37" i="21" s="1"/>
  <c r="AF38" i="21"/>
  <c r="AG38" i="21" s="1"/>
  <c r="AF39" i="21"/>
  <c r="AG39" i="21" s="1"/>
  <c r="AF40" i="21"/>
  <c r="AG40" i="21" s="1"/>
  <c r="AF41" i="21"/>
  <c r="AG41" i="21" s="1"/>
  <c r="AF42" i="21"/>
  <c r="AG42" i="21" s="1"/>
  <c r="AF43" i="21"/>
  <c r="AG43" i="21" s="1"/>
  <c r="AF44" i="21"/>
  <c r="AG44" i="21" s="1"/>
  <c r="AF45" i="21"/>
  <c r="AG45" i="21" s="1"/>
  <c r="AF46" i="21"/>
  <c r="AG46" i="21" s="1"/>
  <c r="AF47" i="21"/>
  <c r="AG47" i="21" s="1"/>
  <c r="AF48" i="21"/>
  <c r="AG48" i="21" s="1"/>
  <c r="AF49" i="21"/>
  <c r="AG49" i="21" s="1"/>
  <c r="AF50" i="21"/>
  <c r="AG50" i="21" s="1"/>
  <c r="AF51" i="21"/>
  <c r="AG51" i="21" s="1"/>
  <c r="AF52" i="21"/>
  <c r="AG52" i="21" s="1"/>
  <c r="AF53" i="21"/>
  <c r="AG53" i="21" s="1"/>
  <c r="AF54" i="21"/>
  <c r="AG54" i="21" s="1"/>
  <c r="AF55" i="21"/>
  <c r="AG55" i="21" s="1"/>
  <c r="AF56" i="21"/>
  <c r="AG56" i="21" s="1"/>
  <c r="AF57" i="21"/>
  <c r="AG57" i="21" s="1"/>
  <c r="AF8" i="21"/>
  <c r="AG8" i="21" s="1"/>
  <c r="UB5" i="2"/>
  <c r="UB3" i="2"/>
  <c r="UB2" i="2"/>
  <c r="BL8" i="8" l="1"/>
  <c r="D19" i="18"/>
  <c r="D18" i="18"/>
  <c r="YF5" i="2"/>
  <c r="YE5" i="2"/>
  <c r="YD5" i="2"/>
  <c r="YC5" i="2"/>
  <c r="YB5" i="2"/>
  <c r="YA5" i="2"/>
  <c r="YF3" i="2"/>
  <c r="YE3" i="2"/>
  <c r="YD3" i="2"/>
  <c r="YC3" i="2"/>
  <c r="YB3" i="2"/>
  <c r="YA3" i="2"/>
  <c r="YF2" i="2"/>
  <c r="YE2" i="2"/>
  <c r="YD2" i="2"/>
  <c r="YC2" i="2"/>
  <c r="YB2" i="2"/>
  <c r="YA2" i="2"/>
  <c r="XZ5" i="2"/>
  <c r="XZ3" i="2"/>
  <c r="XZ2" i="2"/>
  <c r="XT5" i="2"/>
  <c r="XT3" i="2"/>
  <c r="XT2" i="2"/>
  <c r="YQ5" i="2"/>
  <c r="YQ3" i="2"/>
  <c r="YQ2" i="2"/>
  <c r="UA13" i="2"/>
  <c r="UA12" i="2"/>
  <c r="UA11" i="2"/>
  <c r="TZ3" i="2"/>
  <c r="TZ2" i="2"/>
  <c r="TY3" i="2"/>
  <c r="TY2" i="2"/>
  <c r="TQ3" i="2"/>
  <c r="TQ2" i="2"/>
  <c r="TP2" i="2"/>
  <c r="TP3" i="2"/>
  <c r="TO3" i="2"/>
  <c r="AN9" i="21"/>
  <c r="AN10" i="21"/>
  <c r="AO10" i="21" s="1"/>
  <c r="AN11" i="21"/>
  <c r="AN12" i="21"/>
  <c r="AN13" i="21"/>
  <c r="AO13" i="21" s="1"/>
  <c r="AN14" i="21"/>
  <c r="AO14" i="21" s="1"/>
  <c r="AN15" i="21"/>
  <c r="AO15" i="21" s="1"/>
  <c r="AN16" i="21"/>
  <c r="AO16" i="21" s="1"/>
  <c r="AN17" i="21"/>
  <c r="AO17" i="21" s="1"/>
  <c r="AN18" i="21"/>
  <c r="AO18" i="21" s="1"/>
  <c r="AN19" i="21"/>
  <c r="AO19" i="21" s="1"/>
  <c r="AN20" i="21"/>
  <c r="AO20" i="21" s="1"/>
  <c r="AN21" i="21"/>
  <c r="AO21" i="21" s="1"/>
  <c r="AN22" i="21"/>
  <c r="AO22" i="21" s="1"/>
  <c r="AN23" i="21"/>
  <c r="AO23" i="21" s="1"/>
  <c r="AN24" i="21"/>
  <c r="AO24" i="21" s="1"/>
  <c r="AN25" i="21"/>
  <c r="AO25" i="21" s="1"/>
  <c r="AN26" i="21"/>
  <c r="AO26" i="21" s="1"/>
  <c r="AN27" i="21"/>
  <c r="AO27" i="21" s="1"/>
  <c r="AN28" i="21"/>
  <c r="AO28" i="21" s="1"/>
  <c r="AN29" i="21"/>
  <c r="AO29" i="21" s="1"/>
  <c r="AN30" i="21"/>
  <c r="AO30" i="21" s="1"/>
  <c r="AN31" i="21"/>
  <c r="AO31" i="21" s="1"/>
  <c r="AN32" i="21"/>
  <c r="AO32" i="21" s="1"/>
  <c r="AN33" i="21"/>
  <c r="AO33" i="21" s="1"/>
  <c r="AN34" i="21"/>
  <c r="AO34" i="21" s="1"/>
  <c r="AN35" i="21"/>
  <c r="AO35" i="21" s="1"/>
  <c r="AN36" i="21"/>
  <c r="AO36" i="21" s="1"/>
  <c r="AN37" i="21"/>
  <c r="AO37" i="21" s="1"/>
  <c r="AN38" i="21"/>
  <c r="AO38" i="21" s="1"/>
  <c r="AN39" i="21"/>
  <c r="AO39" i="21" s="1"/>
  <c r="AN40" i="21"/>
  <c r="AO40" i="21" s="1"/>
  <c r="AN41" i="21"/>
  <c r="AO41" i="21" s="1"/>
  <c r="AN42" i="21"/>
  <c r="AO42" i="21" s="1"/>
  <c r="AN43" i="21"/>
  <c r="AO43" i="21" s="1"/>
  <c r="AN44" i="21"/>
  <c r="AO44" i="21" s="1"/>
  <c r="AN45" i="21"/>
  <c r="AO45" i="21" s="1"/>
  <c r="AN46" i="21"/>
  <c r="AO46" i="21" s="1"/>
  <c r="AN47" i="21"/>
  <c r="AO47" i="21" s="1"/>
  <c r="AN48" i="21"/>
  <c r="AO48" i="21" s="1"/>
  <c r="AN49" i="21"/>
  <c r="AO49" i="21" s="1"/>
  <c r="AN50" i="21"/>
  <c r="AO50" i="21" s="1"/>
  <c r="AN51" i="21"/>
  <c r="AO51" i="21" s="1"/>
  <c r="AN52" i="21"/>
  <c r="AO52" i="21" s="1"/>
  <c r="AN53" i="21"/>
  <c r="AO53" i="21" s="1"/>
  <c r="AN54" i="21"/>
  <c r="AO54" i="21" s="1"/>
  <c r="AN55" i="21"/>
  <c r="AO55" i="21" s="1"/>
  <c r="AN56" i="21"/>
  <c r="AO56" i="21" s="1"/>
  <c r="AN57" i="21"/>
  <c r="AO57" i="21" s="1"/>
  <c r="VQ10" i="2"/>
  <c r="VQ9" i="2"/>
  <c r="VQ8" i="2"/>
  <c r="VQ7" i="2"/>
  <c r="VQ6" i="2"/>
  <c r="VQ5" i="2"/>
  <c r="VQ4" i="2"/>
  <c r="VQ3" i="2"/>
  <c r="VQ2" i="2"/>
  <c r="VN10" i="2"/>
  <c r="VN9" i="2"/>
  <c r="VN8" i="2"/>
  <c r="VN7" i="2"/>
  <c r="VN6" i="2"/>
  <c r="VN5" i="2"/>
  <c r="VN4" i="2"/>
  <c r="VN3" i="2"/>
  <c r="VN2" i="2"/>
  <c r="VM10" i="2"/>
  <c r="VM9" i="2"/>
  <c r="VM8" i="2"/>
  <c r="VM7" i="2"/>
  <c r="VM6" i="2"/>
  <c r="VM5" i="2"/>
  <c r="VM4" i="2"/>
  <c r="AN8" i="21"/>
  <c r="VM3" i="2"/>
  <c r="VM2" i="2"/>
  <c r="TN3" i="2"/>
  <c r="TM5" i="2"/>
  <c r="TM3" i="2"/>
  <c r="TC5" i="2"/>
  <c r="TC3" i="2"/>
  <c r="TM2" i="2"/>
  <c r="AO12" i="21" l="1"/>
  <c r="AO8" i="21"/>
  <c r="AO9" i="21"/>
  <c r="AO11" i="21"/>
  <c r="TC2" i="2"/>
  <c r="U9" i="21"/>
  <c r="U10" i="21"/>
  <c r="AV10" i="21" s="1"/>
  <c r="AW10" i="21" s="1"/>
  <c r="AX10" i="21" s="1"/>
  <c r="T10" i="21" s="1"/>
  <c r="U11" i="21"/>
  <c r="AV11" i="21" s="1"/>
  <c r="AW11" i="21" s="1"/>
  <c r="AX11" i="21" s="1"/>
  <c r="T11" i="21" s="1"/>
  <c r="U12" i="21"/>
  <c r="AV12" i="21" s="1"/>
  <c r="AW12" i="21" s="1"/>
  <c r="AX12" i="21" s="1"/>
  <c r="T12" i="21" s="1"/>
  <c r="U13" i="21"/>
  <c r="AV13" i="21" s="1"/>
  <c r="AW13" i="21" s="1"/>
  <c r="AX13" i="21" s="1"/>
  <c r="T13" i="21" s="1"/>
  <c r="U14" i="21"/>
  <c r="AV14" i="21" s="1"/>
  <c r="AW14" i="21" s="1"/>
  <c r="AX14" i="21" s="1"/>
  <c r="T14" i="21" s="1"/>
  <c r="U15" i="21"/>
  <c r="AV15" i="21" s="1"/>
  <c r="AW15" i="21" s="1"/>
  <c r="AX15" i="21" s="1"/>
  <c r="T15" i="21" s="1"/>
  <c r="U16" i="21"/>
  <c r="AV16" i="21" s="1"/>
  <c r="AW16" i="21" s="1"/>
  <c r="AX16" i="21" s="1"/>
  <c r="T16" i="21" s="1"/>
  <c r="U17" i="21"/>
  <c r="AV17" i="21" s="1"/>
  <c r="U18" i="21"/>
  <c r="AV18" i="21" s="1"/>
  <c r="AW18" i="21" s="1"/>
  <c r="AX18" i="21" s="1"/>
  <c r="T18" i="21" s="1"/>
  <c r="U19" i="21"/>
  <c r="AV19" i="21" s="1"/>
  <c r="AW19" i="21" s="1"/>
  <c r="AX19" i="21" s="1"/>
  <c r="T19" i="21" s="1"/>
  <c r="U20" i="21"/>
  <c r="AV20" i="21" s="1"/>
  <c r="AW20" i="21" s="1"/>
  <c r="AX20" i="21" s="1"/>
  <c r="T20" i="21" s="1"/>
  <c r="U21" i="21"/>
  <c r="AV21" i="21" s="1"/>
  <c r="AW21" i="21" s="1"/>
  <c r="AX21" i="21" s="1"/>
  <c r="T21" i="21" s="1"/>
  <c r="U22" i="21"/>
  <c r="AV22" i="21" s="1"/>
  <c r="AW22" i="21" s="1"/>
  <c r="AX22" i="21" s="1"/>
  <c r="T22" i="21" s="1"/>
  <c r="U23" i="21"/>
  <c r="AV23" i="21" s="1"/>
  <c r="AW23" i="21" s="1"/>
  <c r="AX23" i="21" s="1"/>
  <c r="T23" i="21" s="1"/>
  <c r="U24" i="21"/>
  <c r="AV24" i="21" s="1"/>
  <c r="AW24" i="21" s="1"/>
  <c r="AX24" i="21" s="1"/>
  <c r="T24" i="21" s="1"/>
  <c r="U25" i="21"/>
  <c r="AV25" i="21" s="1"/>
  <c r="AW25" i="21" s="1"/>
  <c r="AX25" i="21" s="1"/>
  <c r="T25" i="21" s="1"/>
  <c r="U26" i="21"/>
  <c r="AV26" i="21" s="1"/>
  <c r="AW26" i="21" s="1"/>
  <c r="AX26" i="21" s="1"/>
  <c r="T26" i="21" s="1"/>
  <c r="U27" i="21"/>
  <c r="AV27" i="21" s="1"/>
  <c r="AW27" i="21" s="1"/>
  <c r="AX27" i="21" s="1"/>
  <c r="T27" i="21" s="1"/>
  <c r="U28" i="21"/>
  <c r="AV28" i="21" s="1"/>
  <c r="AW28" i="21" s="1"/>
  <c r="AX28" i="21" s="1"/>
  <c r="T28" i="21" s="1"/>
  <c r="U29" i="21"/>
  <c r="AV29" i="21" s="1"/>
  <c r="AW29" i="21" s="1"/>
  <c r="AX29" i="21" s="1"/>
  <c r="T29" i="21" s="1"/>
  <c r="U30" i="21"/>
  <c r="AV30" i="21" s="1"/>
  <c r="AW30" i="21" s="1"/>
  <c r="AX30" i="21" s="1"/>
  <c r="T30" i="21" s="1"/>
  <c r="U31" i="21"/>
  <c r="AV31" i="21" s="1"/>
  <c r="AW31" i="21" s="1"/>
  <c r="AX31" i="21" s="1"/>
  <c r="T31" i="21" s="1"/>
  <c r="U32" i="21"/>
  <c r="AV32" i="21" s="1"/>
  <c r="AW32" i="21" s="1"/>
  <c r="AX32" i="21" s="1"/>
  <c r="T32" i="21" s="1"/>
  <c r="U33" i="21"/>
  <c r="AV33" i="21" s="1"/>
  <c r="AW33" i="21" s="1"/>
  <c r="AX33" i="21" s="1"/>
  <c r="T33" i="21" s="1"/>
  <c r="U34" i="21"/>
  <c r="AV34" i="21" s="1"/>
  <c r="AW34" i="21" s="1"/>
  <c r="AX34" i="21" s="1"/>
  <c r="T34" i="21" s="1"/>
  <c r="U35" i="21"/>
  <c r="AV35" i="21" s="1"/>
  <c r="AW35" i="21" s="1"/>
  <c r="AX35" i="21" s="1"/>
  <c r="T35" i="21" s="1"/>
  <c r="U36" i="21"/>
  <c r="AV36" i="21" s="1"/>
  <c r="AW36" i="21" s="1"/>
  <c r="AX36" i="21" s="1"/>
  <c r="T36" i="21" s="1"/>
  <c r="U37" i="21"/>
  <c r="AV37" i="21" s="1"/>
  <c r="AW37" i="21" s="1"/>
  <c r="AX37" i="21" s="1"/>
  <c r="T37" i="21" s="1"/>
  <c r="U38" i="21"/>
  <c r="AV38" i="21" s="1"/>
  <c r="AW38" i="21" s="1"/>
  <c r="AX38" i="21" s="1"/>
  <c r="T38" i="21" s="1"/>
  <c r="U39" i="21"/>
  <c r="AV39" i="21" s="1"/>
  <c r="AW39" i="21" s="1"/>
  <c r="AX39" i="21" s="1"/>
  <c r="T39" i="21" s="1"/>
  <c r="U40" i="21"/>
  <c r="AV40" i="21" s="1"/>
  <c r="AW40" i="21" s="1"/>
  <c r="AX40" i="21" s="1"/>
  <c r="T40" i="21" s="1"/>
  <c r="U41" i="21"/>
  <c r="AV41" i="21" s="1"/>
  <c r="AW41" i="21" s="1"/>
  <c r="AX41" i="21" s="1"/>
  <c r="T41" i="21" s="1"/>
  <c r="U42" i="21"/>
  <c r="AV42" i="21" s="1"/>
  <c r="AW42" i="21" s="1"/>
  <c r="AX42" i="21" s="1"/>
  <c r="T42" i="21" s="1"/>
  <c r="U43" i="21"/>
  <c r="AV43" i="21" s="1"/>
  <c r="AW43" i="21" s="1"/>
  <c r="AX43" i="21" s="1"/>
  <c r="T43" i="21" s="1"/>
  <c r="U44" i="21"/>
  <c r="AV44" i="21" s="1"/>
  <c r="AW44" i="21" s="1"/>
  <c r="AX44" i="21" s="1"/>
  <c r="T44" i="21" s="1"/>
  <c r="U45" i="21"/>
  <c r="AV45" i="21" s="1"/>
  <c r="AW45" i="21" s="1"/>
  <c r="AX45" i="21" s="1"/>
  <c r="T45" i="21" s="1"/>
  <c r="U46" i="21"/>
  <c r="AV46" i="21" s="1"/>
  <c r="AW46" i="21" s="1"/>
  <c r="AX46" i="21" s="1"/>
  <c r="T46" i="21" s="1"/>
  <c r="U47" i="21"/>
  <c r="AV47" i="21" s="1"/>
  <c r="AW47" i="21" s="1"/>
  <c r="AX47" i="21" s="1"/>
  <c r="T47" i="21" s="1"/>
  <c r="U48" i="21"/>
  <c r="AV48" i="21" s="1"/>
  <c r="AW48" i="21" s="1"/>
  <c r="AX48" i="21" s="1"/>
  <c r="T48" i="21" s="1"/>
  <c r="U49" i="21"/>
  <c r="AV49" i="21" s="1"/>
  <c r="AW49" i="21" s="1"/>
  <c r="AX49" i="21" s="1"/>
  <c r="T49" i="21" s="1"/>
  <c r="U50" i="21"/>
  <c r="AV50" i="21" s="1"/>
  <c r="AW50" i="21" s="1"/>
  <c r="AX50" i="21" s="1"/>
  <c r="T50" i="21" s="1"/>
  <c r="U51" i="21"/>
  <c r="AV51" i="21" s="1"/>
  <c r="AW51" i="21" s="1"/>
  <c r="AX51" i="21" s="1"/>
  <c r="T51" i="21" s="1"/>
  <c r="U52" i="21"/>
  <c r="AV52" i="21" s="1"/>
  <c r="AW52" i="21" s="1"/>
  <c r="AX52" i="21" s="1"/>
  <c r="T52" i="21" s="1"/>
  <c r="U53" i="21"/>
  <c r="AV53" i="21" s="1"/>
  <c r="AW53" i="21" s="1"/>
  <c r="AX53" i="21" s="1"/>
  <c r="T53" i="21" s="1"/>
  <c r="U54" i="21"/>
  <c r="AV54" i="21" s="1"/>
  <c r="AW54" i="21" s="1"/>
  <c r="AX54" i="21" s="1"/>
  <c r="T54" i="21" s="1"/>
  <c r="U55" i="21"/>
  <c r="AV55" i="21" s="1"/>
  <c r="AW55" i="21" s="1"/>
  <c r="AX55" i="21" s="1"/>
  <c r="T55" i="21" s="1"/>
  <c r="U56" i="21"/>
  <c r="AV56" i="21" s="1"/>
  <c r="AW56" i="21" s="1"/>
  <c r="AX56" i="21" s="1"/>
  <c r="T56" i="21" s="1"/>
  <c r="U57" i="21"/>
  <c r="AV57" i="21" s="1"/>
  <c r="AW57" i="21" s="1"/>
  <c r="AX57" i="21" s="1"/>
  <c r="T57" i="21" s="1"/>
  <c r="U8" i="21"/>
  <c r="AV8" i="21" s="1"/>
  <c r="AW8" i="21" s="1"/>
  <c r="AX8" i="21" s="1"/>
  <c r="AW17" i="21" l="1"/>
  <c r="AX17" i="21" s="1"/>
  <c r="T17" i="21" s="1"/>
  <c r="T8" i="21"/>
  <c r="AV9" i="21"/>
  <c r="AB57" i="21"/>
  <c r="AB56" i="21"/>
  <c r="AB55" i="21"/>
  <c r="AB54" i="21"/>
  <c r="AB53" i="21"/>
  <c r="AB52" i="21"/>
  <c r="AB51" i="21"/>
  <c r="AB50" i="21"/>
  <c r="AB49" i="21"/>
  <c r="AB48" i="21"/>
  <c r="AB47" i="21"/>
  <c r="AB46" i="21"/>
  <c r="AB45" i="21"/>
  <c r="AB44" i="21"/>
  <c r="AB43" i="21"/>
  <c r="AB42" i="21"/>
  <c r="AB41" i="21"/>
  <c r="AB40" i="21"/>
  <c r="AB39" i="21"/>
  <c r="AB38" i="21"/>
  <c r="AB37" i="21"/>
  <c r="AB36" i="21"/>
  <c r="AB35" i="21"/>
  <c r="AB34" i="21"/>
  <c r="AB33" i="21"/>
  <c r="AB32" i="21"/>
  <c r="AB31" i="21"/>
  <c r="AB30" i="21"/>
  <c r="AB29" i="21"/>
  <c r="AB28" i="21"/>
  <c r="AB27" i="21"/>
  <c r="AB26" i="21"/>
  <c r="AB25" i="21"/>
  <c r="AB24" i="21"/>
  <c r="AB23" i="21"/>
  <c r="AB22" i="21"/>
  <c r="AB21" i="21"/>
  <c r="AB20" i="21"/>
  <c r="AB19" i="21"/>
  <c r="AB18" i="21"/>
  <c r="AB17" i="21"/>
  <c r="AB16" i="21"/>
  <c r="AB15" i="21"/>
  <c r="AC14" i="21"/>
  <c r="AB14" i="21"/>
  <c r="AC13" i="21"/>
  <c r="AB13" i="21"/>
  <c r="AC12" i="21"/>
  <c r="AB12" i="21"/>
  <c r="AC11" i="21"/>
  <c r="AB11" i="21"/>
  <c r="AC10" i="21"/>
  <c r="AB10" i="21"/>
  <c r="AC9" i="21"/>
  <c r="AB9" i="21"/>
  <c r="AD8" i="21"/>
  <c r="AC8" i="21"/>
  <c r="AB8" i="21"/>
  <c r="I5" i="21"/>
  <c r="I4" i="21"/>
  <c r="I3" i="21"/>
  <c r="I2" i="21"/>
  <c r="I1" i="21"/>
  <c r="AD9" i="8"/>
  <c r="AF9" i="8" s="1"/>
  <c r="AD10" i="8"/>
  <c r="AC10" i="8" s="1"/>
  <c r="AD11" i="8"/>
  <c r="AC11" i="8" s="1"/>
  <c r="AD12" i="8"/>
  <c r="AF12" i="8" s="1"/>
  <c r="AD13" i="8"/>
  <c r="AC13" i="8" s="1"/>
  <c r="AD14" i="8"/>
  <c r="AF14" i="8" s="1"/>
  <c r="AD15" i="8"/>
  <c r="AC15" i="8" s="1"/>
  <c r="AD16" i="8"/>
  <c r="AF16" i="8" s="1"/>
  <c r="AD17" i="8"/>
  <c r="AF17" i="8" s="1"/>
  <c r="AD18" i="8"/>
  <c r="AF18" i="8" s="1"/>
  <c r="AD19" i="8"/>
  <c r="AC19" i="8" s="1"/>
  <c r="AD20" i="8"/>
  <c r="AF20" i="8" s="1"/>
  <c r="AD21" i="8"/>
  <c r="AF21" i="8" s="1"/>
  <c r="AD22" i="8"/>
  <c r="AF22" i="8" s="1"/>
  <c r="AD23" i="8"/>
  <c r="AC23" i="8" s="1"/>
  <c r="AD24" i="8"/>
  <c r="AF24" i="8" s="1"/>
  <c r="AD25" i="8"/>
  <c r="AF25" i="8" s="1"/>
  <c r="AD26" i="8"/>
  <c r="AF26" i="8" s="1"/>
  <c r="AD27" i="8"/>
  <c r="AC27" i="8" s="1"/>
  <c r="AD28" i="8"/>
  <c r="AF28" i="8" s="1"/>
  <c r="AD29" i="8"/>
  <c r="AC29" i="8" s="1"/>
  <c r="AD30" i="8"/>
  <c r="AF30" i="8" s="1"/>
  <c r="AD31" i="8"/>
  <c r="AC31" i="8" s="1"/>
  <c r="AD32" i="8"/>
  <c r="AF32" i="8" s="1"/>
  <c r="AD33" i="8"/>
  <c r="AF33" i="8" s="1"/>
  <c r="AD34" i="8"/>
  <c r="AF34" i="8" s="1"/>
  <c r="AD35" i="8"/>
  <c r="AC35" i="8" s="1"/>
  <c r="AD36" i="8"/>
  <c r="AF36" i="8" s="1"/>
  <c r="AD37" i="8"/>
  <c r="AF37" i="8" s="1"/>
  <c r="AD38" i="8"/>
  <c r="AF38" i="8" s="1"/>
  <c r="AD39" i="8"/>
  <c r="AC39" i="8" s="1"/>
  <c r="AD40" i="8"/>
  <c r="AF40" i="8" s="1"/>
  <c r="AD41" i="8"/>
  <c r="AF41" i="8" s="1"/>
  <c r="AD42" i="8"/>
  <c r="AF42" i="8" s="1"/>
  <c r="AD43" i="8"/>
  <c r="AC43" i="8" s="1"/>
  <c r="AD44" i="8"/>
  <c r="AF44" i="8" s="1"/>
  <c r="AD45" i="8"/>
  <c r="AC45" i="8" s="1"/>
  <c r="AD46" i="8"/>
  <c r="AF46" i="8" s="1"/>
  <c r="AD47" i="8"/>
  <c r="AC47" i="8" s="1"/>
  <c r="AD48" i="8"/>
  <c r="AF48" i="8" s="1"/>
  <c r="AD49" i="8"/>
  <c r="AF49" i="8" s="1"/>
  <c r="AD50" i="8"/>
  <c r="AF50" i="8" s="1"/>
  <c r="AD51" i="8"/>
  <c r="AC51" i="8" s="1"/>
  <c r="AD52" i="8"/>
  <c r="AF52" i="8" s="1"/>
  <c r="AD53" i="8"/>
  <c r="AF53" i="8" s="1"/>
  <c r="AD54" i="8"/>
  <c r="AF54" i="8" s="1"/>
  <c r="AD55" i="8"/>
  <c r="AC55" i="8" s="1"/>
  <c r="AD56" i="8"/>
  <c r="AF56" i="8" s="1"/>
  <c r="AD57" i="8"/>
  <c r="AF57" i="8" s="1"/>
  <c r="AD8" i="8"/>
  <c r="AF8" i="8" s="1"/>
  <c r="AW9" i="21" l="1"/>
  <c r="AX9" i="21" s="1"/>
  <c r="T9" i="21" s="1"/>
  <c r="AC57" i="8"/>
  <c r="AC25" i="8"/>
  <c r="AF29" i="8"/>
  <c r="AC33" i="8"/>
  <c r="AF45" i="8"/>
  <c r="AC41" i="8"/>
  <c r="AC9" i="8"/>
  <c r="AC49" i="8"/>
  <c r="AC17" i="8"/>
  <c r="AF13" i="8"/>
  <c r="AC52" i="8"/>
  <c r="AC44" i="8"/>
  <c r="AC36" i="8"/>
  <c r="AC28" i="8"/>
  <c r="AC20" i="8"/>
  <c r="AC12" i="8"/>
  <c r="AC53" i="8"/>
  <c r="AC37" i="8"/>
  <c r="AC21" i="8"/>
  <c r="AC56" i="8"/>
  <c r="AC48" i="8"/>
  <c r="AC40" i="8"/>
  <c r="AC32" i="8"/>
  <c r="AC24" i="8"/>
  <c r="AC16" i="8"/>
  <c r="AC8" i="8"/>
  <c r="AC54" i="8"/>
  <c r="AC50" i="8"/>
  <c r="AC46" i="8"/>
  <c r="AC42" i="8"/>
  <c r="AC38" i="8"/>
  <c r="AC34" i="8"/>
  <c r="AC30" i="8"/>
  <c r="AC26" i="8"/>
  <c r="AC22" i="8"/>
  <c r="AC18" i="8"/>
  <c r="AC14" i="8"/>
  <c r="AF55" i="8"/>
  <c r="AF51" i="8"/>
  <c r="AF47" i="8"/>
  <c r="AF43" i="8"/>
  <c r="AF39" i="8"/>
  <c r="AF35" i="8"/>
  <c r="AF31" i="8"/>
  <c r="AF27" i="8"/>
  <c r="AF23" i="8"/>
  <c r="AF19" i="8"/>
  <c r="AF15" i="8"/>
  <c r="AF11" i="8"/>
  <c r="AF10" i="8"/>
  <c r="AC16" i="21"/>
  <c r="AC15" i="21"/>
  <c r="AO9" i="8"/>
  <c r="AO10" i="8"/>
  <c r="AO11" i="8"/>
  <c r="AO12" i="8"/>
  <c r="AO13" i="8"/>
  <c r="AO14" i="8"/>
  <c r="AO15" i="8"/>
  <c r="AO16" i="8"/>
  <c r="AO17" i="8"/>
  <c r="AO18" i="8"/>
  <c r="AO19" i="8"/>
  <c r="AO20" i="8"/>
  <c r="AO21" i="8"/>
  <c r="AO22" i="8"/>
  <c r="AO23" i="8"/>
  <c r="AO24" i="8"/>
  <c r="AO25" i="8"/>
  <c r="AO26" i="8"/>
  <c r="AO27" i="8"/>
  <c r="AO28" i="8"/>
  <c r="AO29" i="8"/>
  <c r="AO30" i="8"/>
  <c r="AO31" i="8"/>
  <c r="AO32" i="8"/>
  <c r="AO33" i="8"/>
  <c r="AO34" i="8"/>
  <c r="AO35" i="8"/>
  <c r="AO36" i="8"/>
  <c r="AO37" i="8"/>
  <c r="AO38" i="8"/>
  <c r="AO39" i="8"/>
  <c r="AO40" i="8"/>
  <c r="AO41" i="8"/>
  <c r="AO42" i="8"/>
  <c r="AO43" i="8"/>
  <c r="AO44" i="8"/>
  <c r="AO45" i="8"/>
  <c r="AO46" i="8"/>
  <c r="AO47" i="8"/>
  <c r="AO48" i="8"/>
  <c r="AO49" i="8"/>
  <c r="AO50" i="8"/>
  <c r="AO51" i="8"/>
  <c r="AO52" i="8"/>
  <c r="AO53" i="8"/>
  <c r="AO54" i="8"/>
  <c r="AO55" i="8"/>
  <c r="AO56" i="8"/>
  <c r="AO57" i="8"/>
  <c r="AO8" i="8"/>
  <c r="AM9" i="8"/>
  <c r="AM10" i="8"/>
  <c r="AM11" i="8"/>
  <c r="AM12" i="8"/>
  <c r="AM13" i="8"/>
  <c r="AM14" i="8"/>
  <c r="AM15" i="8"/>
  <c r="AM16" i="8"/>
  <c r="AM17" i="8"/>
  <c r="AM18" i="8"/>
  <c r="AM19" i="8"/>
  <c r="AM20" i="8"/>
  <c r="AM21" i="8"/>
  <c r="AM22" i="8"/>
  <c r="AM23" i="8"/>
  <c r="AM24" i="8"/>
  <c r="AM25" i="8"/>
  <c r="AM26" i="8"/>
  <c r="AM27" i="8"/>
  <c r="AM28" i="8"/>
  <c r="AM29" i="8"/>
  <c r="AM30" i="8"/>
  <c r="AM31" i="8"/>
  <c r="AM32" i="8"/>
  <c r="AM33" i="8"/>
  <c r="AM34" i="8"/>
  <c r="AM35" i="8"/>
  <c r="AM36" i="8"/>
  <c r="AM37" i="8"/>
  <c r="AM38" i="8"/>
  <c r="AM39" i="8"/>
  <c r="AM40" i="8"/>
  <c r="AM41" i="8"/>
  <c r="AM42" i="8"/>
  <c r="AM43" i="8"/>
  <c r="AM44" i="8"/>
  <c r="AM45" i="8"/>
  <c r="AM46" i="8"/>
  <c r="AM47" i="8"/>
  <c r="AM48" i="8"/>
  <c r="AM49" i="8"/>
  <c r="AM50" i="8"/>
  <c r="AM51" i="8"/>
  <c r="AM52" i="8"/>
  <c r="AM53" i="8"/>
  <c r="AM54" i="8"/>
  <c r="AM55" i="8"/>
  <c r="AM56" i="8"/>
  <c r="AM57" i="8"/>
  <c r="AM8" i="8"/>
  <c r="EH10" i="5"/>
  <c r="EI10" i="5" s="1"/>
  <c r="EH11" i="5"/>
  <c r="EI11" i="5" s="1"/>
  <c r="EH12" i="5"/>
  <c r="EI12" i="5" s="1"/>
  <c r="EH13" i="5"/>
  <c r="EI13" i="5" s="1"/>
  <c r="EH14" i="5"/>
  <c r="EI14" i="5" s="1"/>
  <c r="EH15" i="5"/>
  <c r="EI15" i="5" s="1"/>
  <c r="EH16" i="5"/>
  <c r="EI16" i="5" s="1"/>
  <c r="EH17" i="5"/>
  <c r="EI17" i="5" s="1"/>
  <c r="EH18" i="5"/>
  <c r="EI18" i="5" s="1"/>
  <c r="EH19" i="5"/>
  <c r="EI19" i="5" s="1"/>
  <c r="EH20" i="5"/>
  <c r="EI20" i="5" s="1"/>
  <c r="EH21" i="5"/>
  <c r="EI21" i="5" s="1"/>
  <c r="EH22" i="5"/>
  <c r="EI22" i="5" s="1"/>
  <c r="EH23" i="5"/>
  <c r="EI23" i="5" s="1"/>
  <c r="EH9" i="5"/>
  <c r="EI9" i="5" s="1"/>
  <c r="AG9" i="14"/>
  <c r="AG10" i="14"/>
  <c r="AG11" i="14"/>
  <c r="AG12" i="14"/>
  <c r="AG13" i="14"/>
  <c r="AG14" i="14"/>
  <c r="AG15" i="14"/>
  <c r="AG16" i="14"/>
  <c r="AG17" i="14"/>
  <c r="AG18" i="14"/>
  <c r="AG19" i="14"/>
  <c r="AG20" i="14"/>
  <c r="AG21" i="14"/>
  <c r="AG22" i="14"/>
  <c r="AG23" i="14"/>
  <c r="AG24" i="14"/>
  <c r="AG25" i="14"/>
  <c r="AG26" i="14"/>
  <c r="AG27" i="14"/>
  <c r="AG28" i="14"/>
  <c r="AG29" i="14"/>
  <c r="AG30" i="14"/>
  <c r="AG31" i="14"/>
  <c r="AG32" i="14"/>
  <c r="AG33" i="14"/>
  <c r="AG34" i="14"/>
  <c r="AG35" i="14"/>
  <c r="AG36" i="14"/>
  <c r="AG37" i="14"/>
  <c r="AG38" i="14"/>
  <c r="AG39" i="14"/>
  <c r="AG40" i="14"/>
  <c r="AG41" i="14"/>
  <c r="AG42" i="14"/>
  <c r="AG43" i="14"/>
  <c r="AG44" i="14"/>
  <c r="AG45" i="14"/>
  <c r="AG46" i="14"/>
  <c r="AG47" i="14"/>
  <c r="AG48" i="14"/>
  <c r="AG49" i="14"/>
  <c r="AG50" i="14"/>
  <c r="AG51" i="14"/>
  <c r="AG52" i="14"/>
  <c r="AG53" i="14"/>
  <c r="AG54" i="14"/>
  <c r="AG55" i="14"/>
  <c r="AG56" i="14"/>
  <c r="AG57" i="14"/>
  <c r="AG8" i="14"/>
  <c r="EA10" i="5"/>
  <c r="EB10" i="5" s="1"/>
  <c r="EC10" i="5" s="1"/>
  <c r="EA11" i="5"/>
  <c r="EB11" i="5" s="1"/>
  <c r="EC11" i="5" s="1"/>
  <c r="EA12" i="5"/>
  <c r="EB12" i="5" s="1"/>
  <c r="EA13" i="5"/>
  <c r="EB13" i="5" s="1"/>
  <c r="EC13" i="5" s="1"/>
  <c r="EA14" i="5"/>
  <c r="EB14" i="5" s="1"/>
  <c r="EA15" i="5"/>
  <c r="EB15" i="5" s="1"/>
  <c r="EA16" i="5"/>
  <c r="EB16" i="5" s="1"/>
  <c r="EA17" i="5"/>
  <c r="EB17" i="5" s="1"/>
  <c r="EC17" i="5" s="1"/>
  <c r="EA18" i="5"/>
  <c r="EB18" i="5" s="1"/>
  <c r="EC18" i="5" s="1"/>
  <c r="EA19" i="5"/>
  <c r="EB19" i="5" s="1"/>
  <c r="EA20" i="5"/>
  <c r="EB20" i="5" s="1"/>
  <c r="EA21" i="5"/>
  <c r="EB21" i="5" s="1"/>
  <c r="EA22" i="5"/>
  <c r="EB22" i="5" s="1"/>
  <c r="EA23" i="5"/>
  <c r="EB23" i="5" s="1"/>
  <c r="EA9" i="5"/>
  <c r="EB9" i="5" s="1"/>
  <c r="DQ157" i="2"/>
  <c r="AB9" i="15"/>
  <c r="AB10" i="15"/>
  <c r="AB11" i="15"/>
  <c r="AB12" i="15"/>
  <c r="AB13" i="15"/>
  <c r="AB14" i="15"/>
  <c r="AB15" i="15"/>
  <c r="AB16" i="15"/>
  <c r="AB17" i="15"/>
  <c r="AB18" i="15"/>
  <c r="AB19" i="15"/>
  <c r="AB20" i="15"/>
  <c r="AB21" i="15"/>
  <c r="AB22" i="15"/>
  <c r="AB23" i="15"/>
  <c r="AB24" i="15"/>
  <c r="AB25" i="15"/>
  <c r="AB26" i="15"/>
  <c r="AB27" i="15"/>
  <c r="AB8" i="15"/>
  <c r="ED10" i="5"/>
  <c r="ED11" i="5"/>
  <c r="ED12" i="5"/>
  <c r="ED13" i="5"/>
  <c r="ED14" i="5"/>
  <c r="ED15" i="5"/>
  <c r="ED16" i="5"/>
  <c r="ED17" i="5"/>
  <c r="ED18" i="5"/>
  <c r="ED19" i="5"/>
  <c r="ED20" i="5"/>
  <c r="ED21" i="5"/>
  <c r="ED22" i="5"/>
  <c r="ED23" i="5"/>
  <c r="ED9" i="5"/>
  <c r="CP10" i="5"/>
  <c r="CP11" i="5"/>
  <c r="CP12" i="5"/>
  <c r="CP13" i="5"/>
  <c r="CP14" i="5"/>
  <c r="CP15" i="5"/>
  <c r="CP16" i="5"/>
  <c r="CP17" i="5"/>
  <c r="CP18" i="5"/>
  <c r="CP19" i="5"/>
  <c r="CP20" i="5"/>
  <c r="CP21" i="5"/>
  <c r="CP22" i="5"/>
  <c r="CP23" i="5"/>
  <c r="CP9" i="5"/>
  <c r="DI10" i="5"/>
  <c r="DJ10" i="5" s="1"/>
  <c r="DK10" i="5" s="1"/>
  <c r="DI11" i="5"/>
  <c r="DJ11" i="5" s="1"/>
  <c r="DK11" i="5" s="1"/>
  <c r="DI12" i="5"/>
  <c r="DJ12" i="5" s="1"/>
  <c r="DK12" i="5" s="1"/>
  <c r="DI13" i="5"/>
  <c r="DJ13" i="5" s="1"/>
  <c r="DK13" i="5" s="1"/>
  <c r="DI14" i="5"/>
  <c r="DJ14" i="5" s="1"/>
  <c r="DK14" i="5" s="1"/>
  <c r="DI15" i="5"/>
  <c r="DJ15" i="5" s="1"/>
  <c r="DK15" i="5" s="1"/>
  <c r="DI16" i="5"/>
  <c r="DJ16" i="5" s="1"/>
  <c r="DK16" i="5" s="1"/>
  <c r="DI17" i="5"/>
  <c r="DJ17" i="5" s="1"/>
  <c r="DK17" i="5" s="1"/>
  <c r="DI18" i="5"/>
  <c r="DJ18" i="5" s="1"/>
  <c r="DK18" i="5" s="1"/>
  <c r="DI19" i="5"/>
  <c r="DJ19" i="5" s="1"/>
  <c r="DK19" i="5" s="1"/>
  <c r="DI20" i="5"/>
  <c r="DJ20" i="5" s="1"/>
  <c r="DK20" i="5" s="1"/>
  <c r="DI21" i="5"/>
  <c r="DJ21" i="5" s="1"/>
  <c r="DK21" i="5" s="1"/>
  <c r="DI22" i="5"/>
  <c r="DJ22" i="5" s="1"/>
  <c r="DK22" i="5" s="1"/>
  <c r="DI23" i="5"/>
  <c r="DJ23" i="5" s="1"/>
  <c r="DK23" i="5" s="1"/>
  <c r="DI9" i="5"/>
  <c r="DJ9" i="5" s="1"/>
  <c r="DK9" i="5" s="1"/>
  <c r="CJ10" i="5"/>
  <c r="CK10" i="5" s="1"/>
  <c r="CJ11" i="5"/>
  <c r="CK11" i="5" s="1"/>
  <c r="CJ12" i="5"/>
  <c r="CK12" i="5" s="1"/>
  <c r="CJ13" i="5"/>
  <c r="CK13" i="5" s="1"/>
  <c r="CJ14" i="5"/>
  <c r="CK14" i="5" s="1"/>
  <c r="CJ15" i="5"/>
  <c r="CK15" i="5" s="1"/>
  <c r="CJ16" i="5"/>
  <c r="CK16" i="5" s="1"/>
  <c r="CJ17" i="5"/>
  <c r="CK17" i="5" s="1"/>
  <c r="CJ18" i="5"/>
  <c r="CK18" i="5" s="1"/>
  <c r="CJ19" i="5"/>
  <c r="CK19" i="5" s="1"/>
  <c r="CJ20" i="5"/>
  <c r="CK20" i="5" s="1"/>
  <c r="CJ21" i="5"/>
  <c r="CK21" i="5" s="1"/>
  <c r="CJ22" i="5"/>
  <c r="CK22" i="5" s="1"/>
  <c r="CJ23" i="5"/>
  <c r="CK23" i="5" s="1"/>
  <c r="CJ9" i="5"/>
  <c r="CK9" i="5" s="1"/>
  <c r="EC12" i="5"/>
  <c r="EC9" i="5"/>
  <c r="DQ156" i="2"/>
  <c r="EC14" i="5"/>
  <c r="EC15" i="5"/>
  <c r="EC16" i="5"/>
  <c r="EC19" i="5"/>
  <c r="EC20" i="5"/>
  <c r="EC21" i="5"/>
  <c r="EC22" i="5"/>
  <c r="EC23" i="5"/>
  <c r="H7" i="20"/>
  <c r="H6" i="20"/>
  <c r="H5" i="20"/>
  <c r="H4" i="20"/>
  <c r="G7" i="19"/>
  <c r="G6" i="19"/>
  <c r="G5" i="19"/>
  <c r="G4" i="19"/>
  <c r="DQ5" i="2"/>
  <c r="DQ6" i="2"/>
  <c r="DQ7" i="2"/>
  <c r="DQ8" i="2"/>
  <c r="DQ9" i="2"/>
  <c r="DQ10" i="2"/>
  <c r="DQ11" i="2"/>
  <c r="DQ12" i="2"/>
  <c r="DQ13" i="2"/>
  <c r="DQ14" i="2"/>
  <c r="DQ15" i="2"/>
  <c r="DQ16" i="2"/>
  <c r="DQ17" i="2"/>
  <c r="DQ18" i="2"/>
  <c r="DQ19" i="2"/>
  <c r="DQ20" i="2"/>
  <c r="DQ21" i="2"/>
  <c r="DQ22" i="2"/>
  <c r="DQ23" i="2"/>
  <c r="DQ24" i="2"/>
  <c r="DQ25" i="2"/>
  <c r="DQ26" i="2"/>
  <c r="DQ27" i="2"/>
  <c r="DQ28" i="2"/>
  <c r="DQ29" i="2"/>
  <c r="DQ30" i="2"/>
  <c r="DQ31" i="2"/>
  <c r="DQ32" i="2"/>
  <c r="DQ33" i="2"/>
  <c r="DQ34" i="2"/>
  <c r="DQ35" i="2"/>
  <c r="DQ36" i="2"/>
  <c r="DQ37" i="2"/>
  <c r="DQ38" i="2"/>
  <c r="DQ39" i="2"/>
  <c r="DQ40" i="2"/>
  <c r="DQ41" i="2"/>
  <c r="DQ42" i="2"/>
  <c r="DQ43" i="2"/>
  <c r="DQ44" i="2"/>
  <c r="DQ45" i="2"/>
  <c r="DQ46" i="2"/>
  <c r="DQ47" i="2"/>
  <c r="DQ48" i="2"/>
  <c r="DQ49" i="2"/>
  <c r="DQ50" i="2"/>
  <c r="DQ51" i="2"/>
  <c r="DQ52" i="2"/>
  <c r="DQ53" i="2"/>
  <c r="DQ54" i="2"/>
  <c r="DQ55" i="2"/>
  <c r="DQ56" i="2"/>
  <c r="DQ57" i="2"/>
  <c r="DQ58" i="2"/>
  <c r="DQ59" i="2"/>
  <c r="DQ60" i="2"/>
  <c r="DQ61" i="2"/>
  <c r="DQ62" i="2"/>
  <c r="DQ63" i="2"/>
  <c r="DQ64" i="2"/>
  <c r="DQ65" i="2"/>
  <c r="DQ66" i="2"/>
  <c r="DQ67" i="2"/>
  <c r="DQ68" i="2"/>
  <c r="DQ69" i="2"/>
  <c r="DQ70" i="2"/>
  <c r="DQ71" i="2"/>
  <c r="DQ72" i="2"/>
  <c r="DQ73" i="2"/>
  <c r="DQ74" i="2"/>
  <c r="DQ75" i="2"/>
  <c r="DQ76" i="2"/>
  <c r="DQ77" i="2"/>
  <c r="DQ78" i="2"/>
  <c r="DQ79" i="2"/>
  <c r="DQ80" i="2"/>
  <c r="DQ81" i="2"/>
  <c r="DQ82" i="2"/>
  <c r="DQ83" i="2"/>
  <c r="DQ84" i="2"/>
  <c r="DQ85" i="2"/>
  <c r="DQ86" i="2"/>
  <c r="DQ87" i="2"/>
  <c r="DQ88" i="2"/>
  <c r="DQ89" i="2"/>
  <c r="DQ90" i="2"/>
  <c r="DQ91" i="2"/>
  <c r="DQ92" i="2"/>
  <c r="DQ93" i="2"/>
  <c r="DQ94" i="2"/>
  <c r="DQ95" i="2"/>
  <c r="DQ96" i="2"/>
  <c r="DQ97" i="2"/>
  <c r="DQ98" i="2"/>
  <c r="DQ99" i="2"/>
  <c r="DQ100" i="2"/>
  <c r="DQ101" i="2"/>
  <c r="DQ102" i="2"/>
  <c r="DQ103" i="2"/>
  <c r="DQ104" i="2"/>
  <c r="DQ105" i="2"/>
  <c r="DQ106" i="2"/>
  <c r="DQ107" i="2"/>
  <c r="DQ108" i="2"/>
  <c r="DQ109" i="2"/>
  <c r="DQ110" i="2"/>
  <c r="DQ111" i="2"/>
  <c r="DQ112" i="2"/>
  <c r="DQ113" i="2"/>
  <c r="DQ114" i="2"/>
  <c r="DQ115" i="2"/>
  <c r="DQ116" i="2"/>
  <c r="DQ117" i="2"/>
  <c r="DQ118" i="2"/>
  <c r="DQ119" i="2"/>
  <c r="DQ120" i="2"/>
  <c r="DQ121" i="2"/>
  <c r="DQ122" i="2"/>
  <c r="DQ123" i="2"/>
  <c r="DQ124" i="2"/>
  <c r="DQ125" i="2"/>
  <c r="DQ126" i="2"/>
  <c r="DQ127" i="2"/>
  <c r="DQ128" i="2"/>
  <c r="DQ129" i="2"/>
  <c r="DQ130" i="2"/>
  <c r="DQ131" i="2"/>
  <c r="DQ132" i="2"/>
  <c r="DQ133" i="2"/>
  <c r="DQ134" i="2"/>
  <c r="DQ135" i="2"/>
  <c r="DQ136" i="2"/>
  <c r="DQ137" i="2"/>
  <c r="DQ138" i="2"/>
  <c r="DQ139" i="2"/>
  <c r="DQ140" i="2"/>
  <c r="DQ141" i="2"/>
  <c r="DQ142" i="2"/>
  <c r="DQ143" i="2"/>
  <c r="DQ144" i="2"/>
  <c r="DQ145" i="2"/>
  <c r="DQ146" i="2"/>
  <c r="DQ147" i="2"/>
  <c r="DQ148" i="2"/>
  <c r="DQ149" i="2"/>
  <c r="DQ150" i="2"/>
  <c r="DQ151" i="2"/>
  <c r="DQ152" i="2"/>
  <c r="DQ153" i="2"/>
  <c r="DQ154" i="2"/>
  <c r="DQ155" i="2"/>
  <c r="DZ10" i="5"/>
  <c r="AV10" i="5" s="1"/>
  <c r="DZ11" i="5"/>
  <c r="AV11" i="5" s="1"/>
  <c r="DZ12" i="5"/>
  <c r="AV12" i="5" s="1"/>
  <c r="DZ13" i="5"/>
  <c r="AV13" i="5" s="1"/>
  <c r="DZ14" i="5"/>
  <c r="AV14" i="5" s="1"/>
  <c r="DZ15" i="5"/>
  <c r="AV15" i="5" s="1"/>
  <c r="DZ16" i="5"/>
  <c r="AV16" i="5" s="1"/>
  <c r="DZ17" i="5"/>
  <c r="AV17" i="5" s="1"/>
  <c r="DZ18" i="5"/>
  <c r="AV18" i="5" s="1"/>
  <c r="DZ19" i="5"/>
  <c r="AV19" i="5" s="1"/>
  <c r="DZ20" i="5"/>
  <c r="AV20" i="5" s="1"/>
  <c r="DZ21" i="5"/>
  <c r="AV21" i="5" s="1"/>
  <c r="DZ22" i="5"/>
  <c r="AV22" i="5" s="1"/>
  <c r="DZ23" i="5"/>
  <c r="AV23" i="5" s="1"/>
  <c r="DZ9" i="5"/>
  <c r="AV9" i="5" s="1"/>
  <c r="DT10" i="5"/>
  <c r="DT11" i="5"/>
  <c r="DT12" i="5"/>
  <c r="DT13" i="5"/>
  <c r="DT14" i="5"/>
  <c r="DT15" i="5"/>
  <c r="DT16" i="5"/>
  <c r="DT17" i="5"/>
  <c r="DT18" i="5"/>
  <c r="DT19" i="5"/>
  <c r="DT20" i="5"/>
  <c r="DT21" i="5"/>
  <c r="DT22" i="5"/>
  <c r="DT23" i="5"/>
  <c r="DT9" i="5"/>
  <c r="DF10" i="5"/>
  <c r="DF11" i="5"/>
  <c r="DF12" i="5"/>
  <c r="DF13" i="5"/>
  <c r="DF14" i="5"/>
  <c r="DF15" i="5"/>
  <c r="DF16" i="5"/>
  <c r="DF17" i="5"/>
  <c r="DF18" i="5"/>
  <c r="DF19" i="5"/>
  <c r="DF20" i="5"/>
  <c r="DF21" i="5"/>
  <c r="DF22" i="5"/>
  <c r="DF23" i="5"/>
  <c r="DF9" i="5"/>
  <c r="AY12" i="5"/>
  <c r="AY13" i="5"/>
  <c r="AY16" i="5"/>
  <c r="AY19" i="5"/>
  <c r="AY20" i="5"/>
  <c r="AY21" i="5"/>
  <c r="AY22" i="5"/>
  <c r="AY23" i="5"/>
  <c r="AY9" i="5"/>
  <c r="BU10" i="5"/>
  <c r="BU11" i="5"/>
  <c r="BU12" i="5"/>
  <c r="BU13" i="5"/>
  <c r="BU14" i="5"/>
  <c r="BU15" i="5"/>
  <c r="BU16" i="5"/>
  <c r="BU17" i="5"/>
  <c r="BU18" i="5"/>
  <c r="BU19" i="5"/>
  <c r="BU20" i="5"/>
  <c r="BU21" i="5"/>
  <c r="BU22" i="5"/>
  <c r="BU23" i="5"/>
  <c r="BU9" i="5"/>
  <c r="BV10" i="5"/>
  <c r="BV11" i="5"/>
  <c r="BV12" i="5"/>
  <c r="BV13" i="5"/>
  <c r="BV14" i="5"/>
  <c r="BV15" i="5"/>
  <c r="BV16" i="5"/>
  <c r="BV17" i="5"/>
  <c r="BV18" i="5"/>
  <c r="BV19" i="5"/>
  <c r="BV20" i="5"/>
  <c r="BV21" i="5"/>
  <c r="BV22" i="5"/>
  <c r="BV23" i="5"/>
  <c r="CF10" i="5"/>
  <c r="CF11" i="5"/>
  <c r="CF12" i="5"/>
  <c r="CF13" i="5"/>
  <c r="CF14" i="5"/>
  <c r="CF15" i="5"/>
  <c r="CF16" i="5"/>
  <c r="CF17" i="5"/>
  <c r="CF18" i="5"/>
  <c r="CF19" i="5"/>
  <c r="CF20" i="5"/>
  <c r="CF21" i="5"/>
  <c r="CF22" i="5"/>
  <c r="CF23" i="5"/>
  <c r="BV9" i="5"/>
  <c r="CF9" i="5"/>
  <c r="BJ27" i="2"/>
  <c r="AY14" i="5" s="1"/>
  <c r="BF10" i="5"/>
  <c r="BF11" i="5"/>
  <c r="BF12" i="5"/>
  <c r="BF13" i="5"/>
  <c r="BF14" i="5"/>
  <c r="BF15" i="5"/>
  <c r="BF16" i="5"/>
  <c r="BF17" i="5"/>
  <c r="BF18" i="5"/>
  <c r="BF19" i="5"/>
  <c r="BF20" i="5"/>
  <c r="BF21" i="5"/>
  <c r="BF22" i="5"/>
  <c r="BF23" i="5"/>
  <c r="BF9" i="5"/>
  <c r="AW10" i="5"/>
  <c r="AX10" i="5" s="1"/>
  <c r="AW11" i="5"/>
  <c r="AX11" i="5" s="1"/>
  <c r="AW12" i="5"/>
  <c r="AX12" i="5" s="1"/>
  <c r="AW13" i="5"/>
  <c r="AX13" i="5" s="1"/>
  <c r="AW14" i="5"/>
  <c r="AX14" i="5" s="1"/>
  <c r="AW15" i="5"/>
  <c r="AX15" i="5" s="1"/>
  <c r="AW16" i="5"/>
  <c r="AX16" i="5" s="1"/>
  <c r="AW17" i="5"/>
  <c r="AX17" i="5" s="1"/>
  <c r="AW18" i="5"/>
  <c r="AX18" i="5" s="1"/>
  <c r="AW19" i="5"/>
  <c r="AX19" i="5" s="1"/>
  <c r="AW20" i="5"/>
  <c r="AX20" i="5" s="1"/>
  <c r="AW21" i="5"/>
  <c r="AX21" i="5" s="1"/>
  <c r="AW22" i="5"/>
  <c r="AX22" i="5" s="1"/>
  <c r="AW23" i="5"/>
  <c r="AX23" i="5" s="1"/>
  <c r="AW9" i="5"/>
  <c r="AX9" i="5" s="1"/>
  <c r="BJ29" i="2"/>
  <c r="BJ28" i="2"/>
  <c r="AY17" i="5" s="1"/>
  <c r="BJ26" i="2"/>
  <c r="AY15" i="5" s="1"/>
  <c r="BJ25" i="2"/>
  <c r="AY10" i="5" s="1"/>
  <c r="BJ24" i="2"/>
  <c r="AY18" i="5" s="1"/>
  <c r="BL11" i="5"/>
  <c r="BM11" i="5"/>
  <c r="BN11" i="5"/>
  <c r="BL12" i="5"/>
  <c r="BM12" i="5"/>
  <c r="BN12" i="5"/>
  <c r="BL13" i="5"/>
  <c r="BM13" i="5"/>
  <c r="BN13" i="5"/>
  <c r="BL14" i="5"/>
  <c r="BM14" i="5"/>
  <c r="BN14" i="5"/>
  <c r="BL15" i="5"/>
  <c r="BM15" i="5"/>
  <c r="BN15" i="5"/>
  <c r="BL16" i="5"/>
  <c r="BM16" i="5"/>
  <c r="DN16" i="5" s="1"/>
  <c r="BN16" i="5"/>
  <c r="BL18" i="5"/>
  <c r="BM18" i="5"/>
  <c r="BN18" i="5"/>
  <c r="BL19" i="5"/>
  <c r="BM19" i="5"/>
  <c r="BN19" i="5"/>
  <c r="BL20" i="5"/>
  <c r="BM20" i="5"/>
  <c r="BN20" i="5"/>
  <c r="BL21" i="5"/>
  <c r="BM21" i="5"/>
  <c r="BN21" i="5"/>
  <c r="BL22" i="5"/>
  <c r="BM22" i="5"/>
  <c r="BN22" i="5"/>
  <c r="BL23" i="5"/>
  <c r="BM23" i="5"/>
  <c r="BN23" i="5"/>
  <c r="BL9" i="5"/>
  <c r="BM9" i="5"/>
  <c r="BN9" i="5"/>
  <c r="BK10" i="5"/>
  <c r="BK11" i="5"/>
  <c r="BK12" i="5"/>
  <c r="BK13" i="5"/>
  <c r="BK14" i="5"/>
  <c r="BK15" i="5"/>
  <c r="BK16" i="5"/>
  <c r="BK17" i="5"/>
  <c r="BK18" i="5"/>
  <c r="BK19" i="5"/>
  <c r="BK20" i="5"/>
  <c r="BK21" i="5"/>
  <c r="BK22" i="5"/>
  <c r="BK23" i="5"/>
  <c r="BK9" i="5"/>
  <c r="BY10" i="5"/>
  <c r="BT10" i="5"/>
  <c r="BX10" i="5"/>
  <c r="DQ4" i="2"/>
  <c r="CI10" i="5"/>
  <c r="CI11" i="5"/>
  <c r="CI12" i="5"/>
  <c r="CI13" i="5"/>
  <c r="CI14" i="5"/>
  <c r="CI15" i="5"/>
  <c r="CI16" i="5"/>
  <c r="CI17" i="5"/>
  <c r="CI18" i="5"/>
  <c r="CI19" i="5"/>
  <c r="CI20" i="5"/>
  <c r="CI21" i="5"/>
  <c r="CI22" i="5"/>
  <c r="CI23" i="5"/>
  <c r="CI9" i="5"/>
  <c r="BB18" i="5"/>
  <c r="BC18" i="5" s="1"/>
  <c r="BB22" i="5"/>
  <c r="BB23" i="5"/>
  <c r="BC23" i="5" s="1"/>
  <c r="DV10" i="5"/>
  <c r="DV11" i="5"/>
  <c r="DV12" i="5"/>
  <c r="DV13" i="5"/>
  <c r="DV14" i="5"/>
  <c r="DV15" i="5"/>
  <c r="DV16" i="5"/>
  <c r="DV17" i="5"/>
  <c r="DV18" i="5"/>
  <c r="DV19" i="5"/>
  <c r="DV20" i="5"/>
  <c r="DV21" i="5"/>
  <c r="DV22" i="5"/>
  <c r="DV23" i="5"/>
  <c r="DV9" i="5"/>
  <c r="DU10" i="5"/>
  <c r="DU11" i="5"/>
  <c r="DU12" i="5"/>
  <c r="DU13" i="5"/>
  <c r="DU14" i="5"/>
  <c r="DU15" i="5"/>
  <c r="DU16" i="5"/>
  <c r="DU17" i="5"/>
  <c r="DU18" i="5"/>
  <c r="DU19" i="5"/>
  <c r="DU20" i="5"/>
  <c r="DU21" i="5"/>
  <c r="DU22" i="5"/>
  <c r="DU23" i="5"/>
  <c r="DU9" i="5"/>
  <c r="CV10" i="5"/>
  <c r="CV11" i="5"/>
  <c r="CY11" i="5" s="1"/>
  <c r="CV12" i="5"/>
  <c r="CV13" i="5"/>
  <c r="CY13" i="5" s="1"/>
  <c r="CV14" i="5"/>
  <c r="CV15" i="5"/>
  <c r="CY15" i="5" s="1"/>
  <c r="CV16" i="5"/>
  <c r="CY16" i="5" s="1"/>
  <c r="CV17" i="5"/>
  <c r="CY17" i="5" s="1"/>
  <c r="CV18" i="5"/>
  <c r="CY18" i="5" s="1"/>
  <c r="CV19" i="5"/>
  <c r="CV20" i="5"/>
  <c r="CV21" i="5"/>
  <c r="CV22" i="5"/>
  <c r="CV23" i="5"/>
  <c r="CV9" i="5"/>
  <c r="N5" i="5"/>
  <c r="N4" i="5"/>
  <c r="N3" i="5"/>
  <c r="N2" i="5"/>
  <c r="N1" i="5"/>
  <c r="BA9" i="8"/>
  <c r="BC9" i="8" s="1"/>
  <c r="BB9" i="8"/>
  <c r="BA10" i="8"/>
  <c r="BC10" i="8" s="1"/>
  <c r="BB10" i="8"/>
  <c r="BA11" i="8"/>
  <c r="BC11" i="8" s="1"/>
  <c r="BB11" i="8"/>
  <c r="BA12" i="8"/>
  <c r="BC12" i="8" s="1"/>
  <c r="BB12" i="8"/>
  <c r="BA13" i="8"/>
  <c r="BC13" i="8" s="1"/>
  <c r="BB13" i="8"/>
  <c r="BA14" i="8"/>
  <c r="BC14" i="8" s="1"/>
  <c r="BB14" i="8"/>
  <c r="BA15" i="8"/>
  <c r="BC15" i="8" s="1"/>
  <c r="BB15" i="8"/>
  <c r="BA16" i="8"/>
  <c r="BC16" i="8" s="1"/>
  <c r="BB16" i="8"/>
  <c r="BA17" i="8"/>
  <c r="BC17" i="8" s="1"/>
  <c r="BB17" i="8"/>
  <c r="BA18" i="8"/>
  <c r="BC18" i="8" s="1"/>
  <c r="BB18" i="8"/>
  <c r="BA19" i="8"/>
  <c r="BC19" i="8" s="1"/>
  <c r="BB19" i="8"/>
  <c r="BA20" i="8"/>
  <c r="BC20" i="8" s="1"/>
  <c r="BB20" i="8"/>
  <c r="BA21" i="8"/>
  <c r="BC21" i="8" s="1"/>
  <c r="BB21" i="8"/>
  <c r="BA22" i="8"/>
  <c r="BC22" i="8" s="1"/>
  <c r="BB22" i="8"/>
  <c r="BA23" i="8"/>
  <c r="BC23" i="8" s="1"/>
  <c r="BB23" i="8"/>
  <c r="BA24" i="8"/>
  <c r="BC24" i="8" s="1"/>
  <c r="BB24" i="8"/>
  <c r="BA25" i="8"/>
  <c r="BC25" i="8" s="1"/>
  <c r="BB25" i="8"/>
  <c r="BA26" i="8"/>
  <c r="BC26" i="8" s="1"/>
  <c r="BB26" i="8"/>
  <c r="BA27" i="8"/>
  <c r="BC27" i="8" s="1"/>
  <c r="BB27" i="8"/>
  <c r="BA28" i="8"/>
  <c r="BC28" i="8" s="1"/>
  <c r="BB28" i="8"/>
  <c r="BA29" i="8"/>
  <c r="BC29" i="8" s="1"/>
  <c r="BB29" i="8"/>
  <c r="BA30" i="8"/>
  <c r="BC30" i="8" s="1"/>
  <c r="BB30" i="8"/>
  <c r="BA31" i="8"/>
  <c r="BC31" i="8" s="1"/>
  <c r="BB31" i="8"/>
  <c r="BA32" i="8"/>
  <c r="BC32" i="8" s="1"/>
  <c r="BB32" i="8"/>
  <c r="BA33" i="8"/>
  <c r="BC33" i="8" s="1"/>
  <c r="BB33" i="8"/>
  <c r="BA34" i="8"/>
  <c r="BC34" i="8" s="1"/>
  <c r="BB34" i="8"/>
  <c r="BA35" i="8"/>
  <c r="BC35" i="8" s="1"/>
  <c r="BB35" i="8"/>
  <c r="BA36" i="8"/>
  <c r="BC36" i="8" s="1"/>
  <c r="BB36" i="8"/>
  <c r="BA37" i="8"/>
  <c r="BC37" i="8" s="1"/>
  <c r="BB37" i="8"/>
  <c r="BA38" i="8"/>
  <c r="BC38" i="8" s="1"/>
  <c r="BB38" i="8"/>
  <c r="BA39" i="8"/>
  <c r="BC39" i="8" s="1"/>
  <c r="BB39" i="8"/>
  <c r="BA40" i="8"/>
  <c r="BC40" i="8" s="1"/>
  <c r="BB40" i="8"/>
  <c r="BA41" i="8"/>
  <c r="BC41" i="8" s="1"/>
  <c r="BB41" i="8"/>
  <c r="BA42" i="8"/>
  <c r="BC42" i="8" s="1"/>
  <c r="BB42" i="8"/>
  <c r="BA43" i="8"/>
  <c r="BC43" i="8" s="1"/>
  <c r="BB43" i="8"/>
  <c r="BA44" i="8"/>
  <c r="BC44" i="8" s="1"/>
  <c r="BB44" i="8"/>
  <c r="BA45" i="8"/>
  <c r="BC45" i="8" s="1"/>
  <c r="BB45" i="8"/>
  <c r="BA46" i="8"/>
  <c r="BC46" i="8" s="1"/>
  <c r="BB46" i="8"/>
  <c r="BA47" i="8"/>
  <c r="BC47" i="8" s="1"/>
  <c r="BB47" i="8"/>
  <c r="BA48" i="8"/>
  <c r="BC48" i="8" s="1"/>
  <c r="BB48" i="8"/>
  <c r="BA49" i="8"/>
  <c r="BC49" i="8" s="1"/>
  <c r="BB49" i="8"/>
  <c r="BA50" i="8"/>
  <c r="BC50" i="8" s="1"/>
  <c r="BB50" i="8"/>
  <c r="BA51" i="8"/>
  <c r="BC51" i="8" s="1"/>
  <c r="BB51" i="8"/>
  <c r="BA52" i="8"/>
  <c r="BC52" i="8" s="1"/>
  <c r="BB52" i="8"/>
  <c r="BA53" i="8"/>
  <c r="BC53" i="8" s="1"/>
  <c r="BB53" i="8"/>
  <c r="BA54" i="8"/>
  <c r="BC54" i="8" s="1"/>
  <c r="BB54" i="8"/>
  <c r="BA55" i="8"/>
  <c r="BC55" i="8" s="1"/>
  <c r="BB55" i="8"/>
  <c r="BA56" i="8"/>
  <c r="BC56" i="8" s="1"/>
  <c r="BB56" i="8"/>
  <c r="BA57" i="8"/>
  <c r="BC57" i="8" s="1"/>
  <c r="BB57" i="8"/>
  <c r="AI9" i="8"/>
  <c r="AI10" i="8"/>
  <c r="AI11" i="8"/>
  <c r="AI12" i="8"/>
  <c r="AI13"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BB8" i="8"/>
  <c r="BA8" i="8"/>
  <c r="BC8" i="8" s="1"/>
  <c r="AI8" i="8"/>
  <c r="AE14" i="15"/>
  <c r="AE13" i="15"/>
  <c r="AE12" i="15"/>
  <c r="AE11" i="15"/>
  <c r="AE10" i="15"/>
  <c r="AE9" i="15"/>
  <c r="AE8" i="15"/>
  <c r="AG14" i="8"/>
  <c r="AG13" i="8"/>
  <c r="AG12" i="8"/>
  <c r="AG11" i="8"/>
  <c r="AG10" i="8"/>
  <c r="AG9" i="8"/>
  <c r="AG8" i="8"/>
  <c r="AH8" i="8"/>
  <c r="AF8" i="15"/>
  <c r="AB14" i="14"/>
  <c r="AB13" i="14"/>
  <c r="AB12" i="14"/>
  <c r="AB11" i="14"/>
  <c r="AB10" i="14"/>
  <c r="AB9" i="14"/>
  <c r="AC8" i="14"/>
  <c r="AB8" i="14"/>
  <c r="AC8" i="13"/>
  <c r="AB14" i="13"/>
  <c r="AB12" i="13"/>
  <c r="AB11" i="13"/>
  <c r="AB10" i="13"/>
  <c r="AB9" i="13"/>
  <c r="AB13" i="13"/>
  <c r="AB8" i="13"/>
  <c r="DP10" i="5"/>
  <c r="DP11" i="5"/>
  <c r="DP12" i="5"/>
  <c r="DP13" i="5"/>
  <c r="DP14" i="5"/>
  <c r="DP15" i="5"/>
  <c r="DP16" i="5"/>
  <c r="DP17" i="5"/>
  <c r="DP18" i="5"/>
  <c r="DP19" i="5"/>
  <c r="DP20" i="5"/>
  <c r="DP21" i="5"/>
  <c r="DP22" i="5"/>
  <c r="DP23" i="5"/>
  <c r="DQ10" i="5"/>
  <c r="DR10" i="5"/>
  <c r="DS10" i="5"/>
  <c r="DQ11" i="5"/>
  <c r="DR11" i="5"/>
  <c r="DS11" i="5"/>
  <c r="DQ12" i="5"/>
  <c r="DR12" i="5"/>
  <c r="DS12" i="5"/>
  <c r="DQ13" i="5"/>
  <c r="DR13" i="5"/>
  <c r="DS13" i="5"/>
  <c r="DQ14" i="5"/>
  <c r="DR14" i="5"/>
  <c r="DS14" i="5"/>
  <c r="DQ15" i="5"/>
  <c r="DR15" i="5"/>
  <c r="DS15" i="5"/>
  <c r="DQ16" i="5"/>
  <c r="DR16" i="5"/>
  <c r="DS16" i="5"/>
  <c r="DQ17" i="5"/>
  <c r="DR17" i="5"/>
  <c r="DS17" i="5"/>
  <c r="DQ18" i="5"/>
  <c r="DR18" i="5"/>
  <c r="DS18" i="5"/>
  <c r="DQ19" i="5"/>
  <c r="DR19" i="5"/>
  <c r="DS19" i="5"/>
  <c r="DQ20" i="5"/>
  <c r="DR20" i="5"/>
  <c r="DS20" i="5"/>
  <c r="DQ21" i="5"/>
  <c r="DR21" i="5"/>
  <c r="DS21" i="5"/>
  <c r="DQ22" i="5"/>
  <c r="DR22" i="5"/>
  <c r="DS22" i="5"/>
  <c r="DQ23" i="5"/>
  <c r="DR23" i="5"/>
  <c r="DS23" i="5"/>
  <c r="DS9" i="5"/>
  <c r="DR9" i="5"/>
  <c r="DQ9" i="5"/>
  <c r="DP9" i="5"/>
  <c r="DE10" i="5"/>
  <c r="DE11" i="5"/>
  <c r="DE12" i="5"/>
  <c r="DE13" i="5"/>
  <c r="DE14" i="5"/>
  <c r="DE15" i="5"/>
  <c r="DE16" i="5"/>
  <c r="DE17" i="5"/>
  <c r="DE18" i="5"/>
  <c r="DE19" i="5"/>
  <c r="DE20" i="5"/>
  <c r="DE21" i="5"/>
  <c r="DE22" i="5"/>
  <c r="DE23" i="5"/>
  <c r="DE9" i="5"/>
  <c r="DA10" i="5"/>
  <c r="DA11" i="5"/>
  <c r="DA12" i="5"/>
  <c r="DA13" i="5"/>
  <c r="DA14" i="5"/>
  <c r="DA15" i="5"/>
  <c r="DA16" i="5"/>
  <c r="DA17" i="5"/>
  <c r="DA18" i="5"/>
  <c r="DA19" i="5"/>
  <c r="DA20" i="5"/>
  <c r="DA21" i="5"/>
  <c r="DA22" i="5"/>
  <c r="DA23" i="5"/>
  <c r="DA9" i="5"/>
  <c r="CZ10" i="5"/>
  <c r="CZ11" i="5"/>
  <c r="CZ12" i="5"/>
  <c r="CZ13" i="5"/>
  <c r="CZ14" i="5"/>
  <c r="CZ15" i="5"/>
  <c r="CZ16" i="5"/>
  <c r="CZ17" i="5"/>
  <c r="CZ18" i="5"/>
  <c r="CZ19" i="5"/>
  <c r="CZ20" i="5"/>
  <c r="CZ21" i="5"/>
  <c r="CZ22" i="5"/>
  <c r="CZ23" i="5"/>
  <c r="CB10" i="5"/>
  <c r="CG10" i="5"/>
  <c r="CH10" i="5" s="1"/>
  <c r="CB11" i="5"/>
  <c r="CG11" i="5"/>
  <c r="CH11" i="5" s="1"/>
  <c r="CB12" i="5"/>
  <c r="CG12" i="5"/>
  <c r="CH12" i="5" s="1"/>
  <c r="CB13" i="5"/>
  <c r="CG13" i="5"/>
  <c r="CH13" i="5" s="1"/>
  <c r="CB14" i="5"/>
  <c r="CG14" i="5"/>
  <c r="CH14" i="5" s="1"/>
  <c r="CB15" i="5"/>
  <c r="CG15" i="5"/>
  <c r="CH15" i="5" s="1"/>
  <c r="CB16" i="5"/>
  <c r="CG16" i="5"/>
  <c r="CH16" i="5" s="1"/>
  <c r="CB17" i="5"/>
  <c r="CG17" i="5"/>
  <c r="CH17" i="5" s="1"/>
  <c r="CB18" i="5"/>
  <c r="CG18" i="5"/>
  <c r="CH18" i="5" s="1"/>
  <c r="CB19" i="5"/>
  <c r="CG19" i="5"/>
  <c r="CH19" i="5" s="1"/>
  <c r="CB20" i="5"/>
  <c r="CG20" i="5"/>
  <c r="CH20" i="5" s="1"/>
  <c r="CB21" i="5"/>
  <c r="CG21" i="5"/>
  <c r="CH21" i="5" s="1"/>
  <c r="CB22" i="5"/>
  <c r="CG22" i="5"/>
  <c r="CH22" i="5" s="1"/>
  <c r="CB23" i="5"/>
  <c r="CG23" i="5"/>
  <c r="CH23" i="5" s="1"/>
  <c r="CZ9" i="5"/>
  <c r="CQ23" i="5"/>
  <c r="CR23" i="5"/>
  <c r="CQ20" i="5"/>
  <c r="CS20" i="5" s="1"/>
  <c r="CR20" i="5"/>
  <c r="CQ21" i="5"/>
  <c r="CR21" i="5"/>
  <c r="CQ22" i="5"/>
  <c r="CS22" i="5" s="1"/>
  <c r="CR22" i="5"/>
  <c r="CQ10" i="5"/>
  <c r="CR10" i="5"/>
  <c r="CQ11" i="5"/>
  <c r="CR11" i="5"/>
  <c r="CQ12" i="5"/>
  <c r="CR12" i="5"/>
  <c r="CQ13" i="5"/>
  <c r="CR13" i="5"/>
  <c r="CQ14" i="5"/>
  <c r="CR14" i="5"/>
  <c r="CQ15" i="5"/>
  <c r="CR15" i="5"/>
  <c r="CQ16" i="5"/>
  <c r="CR16" i="5"/>
  <c r="CQ17" i="5"/>
  <c r="CR17" i="5"/>
  <c r="CQ18" i="5"/>
  <c r="CR18" i="5"/>
  <c r="CQ19" i="5"/>
  <c r="CR19" i="5"/>
  <c r="CR9" i="5"/>
  <c r="CQ9" i="5"/>
  <c r="CN9" i="5"/>
  <c r="CN12" i="5"/>
  <c r="CN11" i="5"/>
  <c r="CN10" i="5"/>
  <c r="CG9" i="5"/>
  <c r="CH9" i="5" s="1"/>
  <c r="BP10" i="5"/>
  <c r="BP11" i="5"/>
  <c r="BP12" i="5"/>
  <c r="BP13" i="5"/>
  <c r="BP14" i="5"/>
  <c r="BP15" i="5"/>
  <c r="BP16" i="5"/>
  <c r="BP17" i="5"/>
  <c r="BP18" i="5"/>
  <c r="BP19" i="5"/>
  <c r="BP20" i="5"/>
  <c r="BP21" i="5"/>
  <c r="BP22" i="5"/>
  <c r="BP23" i="5"/>
  <c r="BP9" i="5"/>
  <c r="AC4" i="5"/>
  <c r="CB9" i="5"/>
  <c r="BY23" i="5"/>
  <c r="BX23" i="5"/>
  <c r="BW23" i="5"/>
  <c r="BY22" i="5"/>
  <c r="BX22" i="5"/>
  <c r="BW22" i="5"/>
  <c r="BY21" i="5"/>
  <c r="BX21" i="5"/>
  <c r="BW21" i="5"/>
  <c r="BY20" i="5"/>
  <c r="BX20" i="5"/>
  <c r="BW20" i="5"/>
  <c r="BY19" i="5"/>
  <c r="BX19" i="5"/>
  <c r="BW19" i="5"/>
  <c r="BY18" i="5"/>
  <c r="BX18" i="5"/>
  <c r="BW18" i="5"/>
  <c r="BY17" i="5"/>
  <c r="BX17" i="5"/>
  <c r="BW17" i="5"/>
  <c r="BY16" i="5"/>
  <c r="BX16" i="5"/>
  <c r="BW16" i="5"/>
  <c r="BY15" i="5"/>
  <c r="BX15" i="5"/>
  <c r="BW15" i="5"/>
  <c r="BY14" i="5"/>
  <c r="BX14" i="5"/>
  <c r="BW14" i="5"/>
  <c r="BY13" i="5"/>
  <c r="BX13" i="5"/>
  <c r="BW13" i="5"/>
  <c r="BY12" i="5"/>
  <c r="BX12" i="5"/>
  <c r="BW12" i="5"/>
  <c r="BY11" i="5"/>
  <c r="BX11" i="5"/>
  <c r="BW11" i="5"/>
  <c r="BW10" i="5"/>
  <c r="BY9" i="5"/>
  <c r="AU9" i="5" s="1"/>
  <c r="BX9" i="5"/>
  <c r="BW9" i="5"/>
  <c r="BT23" i="5"/>
  <c r="BT22" i="5"/>
  <c r="BT21" i="5"/>
  <c r="BT20" i="5"/>
  <c r="BT19" i="5"/>
  <c r="BT18" i="5"/>
  <c r="BT17" i="5"/>
  <c r="AU17" i="5" s="1"/>
  <c r="BT16" i="5"/>
  <c r="BT15" i="5"/>
  <c r="BT14" i="5"/>
  <c r="BT13" i="5"/>
  <c r="AU13" i="5" s="1"/>
  <c r="BT12" i="5"/>
  <c r="BT11" i="5"/>
  <c r="BT9" i="5"/>
  <c r="BO10" i="5"/>
  <c r="BO11" i="5"/>
  <c r="BO12" i="5"/>
  <c r="BO13" i="5"/>
  <c r="BO14" i="5"/>
  <c r="BO15" i="5"/>
  <c r="BO16" i="5"/>
  <c r="BO17" i="5"/>
  <c r="BO18" i="5"/>
  <c r="BO19" i="5"/>
  <c r="BO20" i="5"/>
  <c r="BO21" i="5"/>
  <c r="BO22" i="5"/>
  <c r="BO23" i="5"/>
  <c r="BO9" i="5"/>
  <c r="BS10" i="5"/>
  <c r="BS11" i="5"/>
  <c r="BS12" i="5"/>
  <c r="BS13" i="5"/>
  <c r="BS14" i="5"/>
  <c r="BS15" i="5"/>
  <c r="BS16" i="5"/>
  <c r="BS17" i="5"/>
  <c r="BS18" i="5"/>
  <c r="BS19" i="5"/>
  <c r="BS20" i="5"/>
  <c r="BS21" i="5"/>
  <c r="BS22" i="5"/>
  <c r="BS23" i="5"/>
  <c r="BL10" i="5"/>
  <c r="BM10" i="5"/>
  <c r="BN10" i="5"/>
  <c r="BL17" i="5"/>
  <c r="BM17" i="5"/>
  <c r="BN17" i="5"/>
  <c r="AZ9" i="15"/>
  <c r="BA9" i="15"/>
  <c r="AZ10" i="15"/>
  <c r="BA10" i="15"/>
  <c r="AZ11" i="15"/>
  <c r="BA11" i="15"/>
  <c r="AZ12" i="15"/>
  <c r="BA12" i="15"/>
  <c r="AZ13" i="15"/>
  <c r="BA13" i="15"/>
  <c r="AZ14" i="15"/>
  <c r="BA14" i="15"/>
  <c r="AZ15" i="15"/>
  <c r="BA15" i="15"/>
  <c r="AZ16" i="15"/>
  <c r="BA16" i="15"/>
  <c r="AZ17" i="15"/>
  <c r="BA17" i="15"/>
  <c r="AZ18" i="15"/>
  <c r="BA18" i="15"/>
  <c r="AZ19" i="15"/>
  <c r="BA19" i="15"/>
  <c r="AZ20" i="15"/>
  <c r="BA20" i="15"/>
  <c r="AZ21" i="15"/>
  <c r="BA21" i="15"/>
  <c r="AZ22" i="15"/>
  <c r="BA22" i="15"/>
  <c r="AZ23" i="15"/>
  <c r="BA23" i="15"/>
  <c r="AZ24" i="15"/>
  <c r="BA24" i="15"/>
  <c r="AZ25" i="15"/>
  <c r="BA25" i="15"/>
  <c r="AZ26" i="15"/>
  <c r="BA26" i="15"/>
  <c r="AZ27" i="15"/>
  <c r="BA27" i="15"/>
  <c r="BA8" i="15"/>
  <c r="BS9" i="5"/>
  <c r="BQ10" i="5"/>
  <c r="BQ11" i="5"/>
  <c r="BQ12" i="5"/>
  <c r="BQ13" i="5"/>
  <c r="BQ14" i="5"/>
  <c r="BQ15" i="5"/>
  <c r="BQ16" i="5"/>
  <c r="BR16" i="5" s="1"/>
  <c r="BQ17" i="5"/>
  <c r="BQ18" i="5"/>
  <c r="BQ19" i="5"/>
  <c r="BQ20" i="5"/>
  <c r="BR20" i="5" s="1"/>
  <c r="BQ21" i="5"/>
  <c r="BQ22" i="5"/>
  <c r="BQ23" i="5"/>
  <c r="AZ8" i="15"/>
  <c r="BQ9" i="5"/>
  <c r="BI10" i="5"/>
  <c r="BI11" i="5"/>
  <c r="BI12" i="5"/>
  <c r="BI13" i="5"/>
  <c r="BI14" i="5"/>
  <c r="BI15" i="5"/>
  <c r="BI16" i="5"/>
  <c r="BI17" i="5"/>
  <c r="BI18" i="5"/>
  <c r="BI19" i="5"/>
  <c r="BI20" i="5"/>
  <c r="BI21" i="5"/>
  <c r="BI22" i="5"/>
  <c r="BI23" i="5"/>
  <c r="BI9" i="5"/>
  <c r="N1" i="14"/>
  <c r="AD9" i="15"/>
  <c r="AD10" i="15"/>
  <c r="AD11" i="15"/>
  <c r="AD12" i="15"/>
  <c r="AD13" i="15"/>
  <c r="AD14" i="15"/>
  <c r="AD15" i="15"/>
  <c r="AD16" i="15"/>
  <c r="AD17" i="15"/>
  <c r="AD18" i="15"/>
  <c r="AD19" i="15"/>
  <c r="AD20" i="15"/>
  <c r="AD21" i="15"/>
  <c r="AD22" i="15"/>
  <c r="AD23" i="15"/>
  <c r="AD24" i="15"/>
  <c r="AD25" i="15"/>
  <c r="AD26" i="15"/>
  <c r="AD27" i="15"/>
  <c r="AD8" i="15"/>
  <c r="AC9" i="15"/>
  <c r="AC10" i="15"/>
  <c r="AC11" i="15"/>
  <c r="AC12" i="15"/>
  <c r="AC13" i="15"/>
  <c r="AC14" i="15"/>
  <c r="AC15" i="15"/>
  <c r="AC16" i="15"/>
  <c r="AC17" i="15"/>
  <c r="AC18" i="15"/>
  <c r="AC19" i="15"/>
  <c r="AC20" i="15"/>
  <c r="AC21" i="15"/>
  <c r="AC22" i="15"/>
  <c r="AC23" i="15"/>
  <c r="AC24" i="15"/>
  <c r="AC25" i="15"/>
  <c r="AC26" i="15"/>
  <c r="AC27" i="15"/>
  <c r="AC8" i="15"/>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8" i="14"/>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8" i="13"/>
  <c r="BB21" i="5"/>
  <c r="BB20" i="5"/>
  <c r="BB19" i="5"/>
  <c r="BB17" i="5"/>
  <c r="BC17" i="5" s="1"/>
  <c r="BB16" i="5"/>
  <c r="BC16" i="5" s="1"/>
  <c r="BB15" i="5"/>
  <c r="BC15" i="5" s="1"/>
  <c r="BB14" i="5"/>
  <c r="BB13" i="5"/>
  <c r="BC13" i="5" s="1"/>
  <c r="BB12" i="5"/>
  <c r="BC12" i="5" s="1"/>
  <c r="BB11" i="5"/>
  <c r="BC11" i="5" s="1"/>
  <c r="BB10" i="5"/>
  <c r="BC10" i="5" s="1"/>
  <c r="AZ10" i="5"/>
  <c r="BB9" i="5"/>
  <c r="BC9" i="5" s="1"/>
  <c r="BG23" i="5"/>
  <c r="BG22" i="5"/>
  <c r="BG21" i="5"/>
  <c r="BG20" i="5"/>
  <c r="BG19" i="5"/>
  <c r="BG18" i="5"/>
  <c r="BG17" i="5"/>
  <c r="BG16" i="5"/>
  <c r="BG15" i="5"/>
  <c r="BG14" i="5"/>
  <c r="BG13" i="5"/>
  <c r="BG12" i="5"/>
  <c r="BG11" i="5"/>
  <c r="BG10" i="5"/>
  <c r="BG9" i="5"/>
  <c r="AD9" i="5"/>
  <c r="AY27" i="15"/>
  <c r="AY26" i="15"/>
  <c r="AY25" i="15"/>
  <c r="AY24" i="15"/>
  <c r="AY23" i="15"/>
  <c r="AY22" i="15"/>
  <c r="AY21" i="15"/>
  <c r="AY20" i="15"/>
  <c r="AY19" i="15"/>
  <c r="AY18" i="15"/>
  <c r="AY17" i="15"/>
  <c r="AY16" i="15"/>
  <c r="AY15" i="15"/>
  <c r="AY14" i="15"/>
  <c r="AY13" i="15"/>
  <c r="AY12" i="15"/>
  <c r="AY11" i="15"/>
  <c r="AY10" i="15"/>
  <c r="T10" i="15" s="1"/>
  <c r="AY9" i="15"/>
  <c r="AY8" i="15"/>
  <c r="T8" i="15" s="1"/>
  <c r="AZ20" i="5"/>
  <c r="AZ21" i="5"/>
  <c r="AZ22" i="5"/>
  <c r="AD22" i="5"/>
  <c r="AD21" i="5"/>
  <c r="AD20" i="5"/>
  <c r="AZ9" i="5"/>
  <c r="AZ11" i="5"/>
  <c r="AZ12" i="5"/>
  <c r="AZ13" i="5"/>
  <c r="AZ14" i="5"/>
  <c r="AZ15" i="5"/>
  <c r="AZ16" i="5"/>
  <c r="AZ17" i="5"/>
  <c r="AZ18" i="5"/>
  <c r="AZ19" i="5"/>
  <c r="AZ23" i="5"/>
  <c r="N5" i="15"/>
  <c r="N4" i="15"/>
  <c r="N2" i="15"/>
  <c r="N1" i="15"/>
  <c r="N5" i="14"/>
  <c r="N4" i="14"/>
  <c r="N2" i="14"/>
  <c r="N5" i="13"/>
  <c r="N4" i="13"/>
  <c r="N2" i="13"/>
  <c r="N1" i="13"/>
  <c r="N5" i="8"/>
  <c r="N4" i="8"/>
  <c r="N2" i="8"/>
  <c r="N1" i="8"/>
  <c r="D16" i="18"/>
  <c r="D15" i="18"/>
  <c r="D17" i="18"/>
  <c r="AD23" i="5"/>
  <c r="AD19" i="5"/>
  <c r="AD18" i="5"/>
  <c r="AD17" i="5"/>
  <c r="AD16" i="5"/>
  <c r="AD15" i="5"/>
  <c r="AD14" i="5"/>
  <c r="AD13" i="5"/>
  <c r="AD12" i="5"/>
  <c r="AD11" i="5"/>
  <c r="AD10" i="5"/>
  <c r="N3" i="8"/>
  <c r="N3" i="14"/>
  <c r="N3" i="15"/>
  <c r="N3" i="13"/>
  <c r="DN9" i="5" l="1"/>
  <c r="DN20" i="5"/>
  <c r="CS21" i="5"/>
  <c r="DN17" i="5"/>
  <c r="BR23" i="5"/>
  <c r="BR15" i="5"/>
  <c r="DN12" i="5"/>
  <c r="BR22" i="5"/>
  <c r="BR18" i="5"/>
  <c r="BR14" i="5"/>
  <c r="CS23" i="5"/>
  <c r="EN23" i="5" s="1"/>
  <c r="CD19" i="5"/>
  <c r="BC19" i="5"/>
  <c r="BD20" i="5"/>
  <c r="BC20" i="5"/>
  <c r="BH20" i="5" s="1"/>
  <c r="BR19" i="5"/>
  <c r="DN13" i="5"/>
  <c r="CD21" i="5"/>
  <c r="BC21" i="5"/>
  <c r="BH21" i="5" s="1"/>
  <c r="CD22" i="5"/>
  <c r="BC22" i="5"/>
  <c r="BH22" i="5" s="1"/>
  <c r="BR21" i="5"/>
  <c r="BR17" i="5"/>
  <c r="BR13" i="5"/>
  <c r="DN22" i="5"/>
  <c r="DN19" i="5"/>
  <c r="DO19" i="5" s="1"/>
  <c r="DN14" i="5"/>
  <c r="DO14" i="5" s="1"/>
  <c r="DN21" i="5"/>
  <c r="DO21" i="5" s="1"/>
  <c r="DN18" i="5"/>
  <c r="DN23" i="5"/>
  <c r="DN15" i="5"/>
  <c r="DO15" i="5" s="1"/>
  <c r="CS17" i="5"/>
  <c r="EN17" i="5" s="1"/>
  <c r="AU11" i="5"/>
  <c r="DN10" i="5"/>
  <c r="DO10" i="5" s="1"/>
  <c r="AU16" i="5"/>
  <c r="AU15" i="5"/>
  <c r="AU14" i="5"/>
  <c r="AU10" i="5"/>
  <c r="AU18" i="5"/>
  <c r="BD14" i="5"/>
  <c r="BC14" i="5"/>
  <c r="BH14" i="5" s="1"/>
  <c r="AU12" i="5"/>
  <c r="CS13" i="5"/>
  <c r="CT13" i="5" s="1"/>
  <c r="AY11" i="5"/>
  <c r="BD17" i="5"/>
  <c r="BD18" i="5"/>
  <c r="CD17" i="5"/>
  <c r="BD15" i="5"/>
  <c r="BH15" i="5"/>
  <c r="CD14" i="5"/>
  <c r="BD12" i="5"/>
  <c r="BH12" i="5"/>
  <c r="BD9" i="5"/>
  <c r="BH9" i="5"/>
  <c r="CD13" i="5"/>
  <c r="BH13" i="5"/>
  <c r="CD18" i="5"/>
  <c r="CS19" i="5"/>
  <c r="EN19" i="5" s="1"/>
  <c r="CS15" i="5"/>
  <c r="EN15" i="5" s="1"/>
  <c r="CS18" i="5"/>
  <c r="EN18" i="5" s="1"/>
  <c r="CS16" i="5"/>
  <c r="CT16" i="5" s="1"/>
  <c r="BD19" i="5"/>
  <c r="BH19" i="5"/>
  <c r="BH18" i="5"/>
  <c r="BD16" i="5"/>
  <c r="CD16" i="5"/>
  <c r="CS14" i="5"/>
  <c r="EN14" i="5" s="1"/>
  <c r="EN22" i="5"/>
  <c r="CT22" i="5"/>
  <c r="DO23" i="5"/>
  <c r="CD15" i="5"/>
  <c r="BH17" i="5"/>
  <c r="DO22" i="5"/>
  <c r="DO18" i="5"/>
  <c r="EN20" i="5"/>
  <c r="CT20" i="5"/>
  <c r="CD23" i="5"/>
  <c r="EN21" i="5"/>
  <c r="CT21" i="5"/>
  <c r="BH23" i="5"/>
  <c r="BH16" i="5"/>
  <c r="DO17" i="5"/>
  <c r="DO13" i="5"/>
  <c r="BD23" i="5"/>
  <c r="CD20" i="5"/>
  <c r="DN11" i="5"/>
  <c r="DO11" i="5" s="1"/>
  <c r="DO20" i="5"/>
  <c r="DO16" i="5"/>
  <c r="DO12" i="5"/>
  <c r="BR11" i="5"/>
  <c r="CS12" i="5"/>
  <c r="CT12" i="5" s="1"/>
  <c r="BR12" i="5"/>
  <c r="CS11" i="5"/>
  <c r="CT11" i="5" s="1"/>
  <c r="BR10" i="5"/>
  <c r="BR9" i="5"/>
  <c r="CS10" i="5"/>
  <c r="EN10" i="5" s="1"/>
  <c r="BD21" i="5"/>
  <c r="BD22" i="5"/>
  <c r="BD13" i="5"/>
  <c r="CD12" i="5"/>
  <c r="CD9" i="5"/>
  <c r="CD10" i="5"/>
  <c r="BD10" i="5"/>
  <c r="BD11" i="5"/>
  <c r="CD11" i="5"/>
  <c r="BH11" i="5"/>
  <c r="BH10" i="5"/>
  <c r="AC3" i="5"/>
  <c r="CS9" i="5"/>
  <c r="CN13" i="5"/>
  <c r="N6" i="5" s="1"/>
  <c r="BD9" i="8"/>
  <c r="BD48" i="8"/>
  <c r="BD32" i="8"/>
  <c r="BD30" i="8"/>
  <c r="BD14" i="8"/>
  <c r="BD12" i="8"/>
  <c r="BD29" i="8"/>
  <c r="BD23" i="8"/>
  <c r="DC9" i="5"/>
  <c r="BD57" i="8"/>
  <c r="BD55" i="8"/>
  <c r="BD53" i="8"/>
  <c r="BD51" i="8"/>
  <c r="BD45" i="8"/>
  <c r="BD39" i="8"/>
  <c r="BD37" i="8"/>
  <c r="BD33" i="8"/>
  <c r="AB16" i="13"/>
  <c r="AE15" i="15"/>
  <c r="BD49" i="8"/>
  <c r="AB16" i="14"/>
  <c r="BD54" i="8"/>
  <c r="BD52" i="8"/>
  <c r="BD50" i="8"/>
  <c r="BD38" i="8"/>
  <c r="BD31" i="8"/>
  <c r="BD13" i="8"/>
  <c r="AC17" i="21"/>
  <c r="AC18" i="21" s="1"/>
  <c r="I6" i="21" s="1"/>
  <c r="AG16" i="8"/>
  <c r="BD47" i="8"/>
  <c r="BD22" i="8"/>
  <c r="BD56" i="8"/>
  <c r="BD46" i="8"/>
  <c r="BD8" i="8"/>
  <c r="BD34" i="8"/>
  <c r="BD27" i="8"/>
  <c r="BD25" i="8"/>
  <c r="BD20" i="8"/>
  <c r="BD11" i="8"/>
  <c r="BD28" i="8"/>
  <c r="BD26" i="8"/>
  <c r="BD24" i="8"/>
  <c r="BD21" i="8"/>
  <c r="BD10" i="8"/>
  <c r="AB15" i="13"/>
  <c r="AB15" i="14"/>
  <c r="AE16" i="15"/>
  <c r="AG15" i="8"/>
  <c r="BD43" i="8"/>
  <c r="BD41" i="8"/>
  <c r="BD35" i="8"/>
  <c r="BD18" i="8"/>
  <c r="BD16" i="8"/>
  <c r="BD44" i="8"/>
  <c r="BD42" i="8"/>
  <c r="BD40" i="8"/>
  <c r="BD36" i="8"/>
  <c r="BD19" i="8"/>
  <c r="BD17" i="8"/>
  <c r="BD15" i="8"/>
  <c r="DO9" i="5"/>
  <c r="DK24" i="5"/>
  <c r="Y7" i="5" s="1"/>
  <c r="AE17" i="15" l="1"/>
  <c r="AE18" i="15" s="1"/>
  <c r="N6" i="15" s="1"/>
  <c r="CT17" i="5"/>
  <c r="CT23" i="5"/>
  <c r="CT14" i="5"/>
  <c r="EN16" i="5"/>
  <c r="EN13" i="5"/>
  <c r="EQ17" i="5"/>
  <c r="ET17" i="5"/>
  <c r="ES17" i="5"/>
  <c r="EQ16" i="5"/>
  <c r="ES16" i="5"/>
  <c r="ET16" i="5"/>
  <c r="EQ14" i="5"/>
  <c r="ES14" i="5"/>
  <c r="ET14" i="5"/>
  <c r="EQ13" i="5"/>
  <c r="EQ12" i="5"/>
  <c r="ET12" i="5"/>
  <c r="ES12" i="5"/>
  <c r="EQ11" i="5"/>
  <c r="ET11" i="5"/>
  <c r="ES11" i="5"/>
  <c r="ES13" i="5"/>
  <c r="ET13" i="5"/>
  <c r="CT15" i="5"/>
  <c r="CT19" i="5"/>
  <c r="CT18" i="5"/>
  <c r="ER23" i="5"/>
  <c r="EO23" i="5"/>
  <c r="EO21" i="5"/>
  <c r="ER21" i="5"/>
  <c r="EO22" i="5"/>
  <c r="ER22" i="5"/>
  <c r="EO20" i="5"/>
  <c r="ER20" i="5"/>
  <c r="EO19" i="5"/>
  <c r="ER19" i="5"/>
  <c r="EO17" i="5"/>
  <c r="ER17" i="5"/>
  <c r="EO16" i="5"/>
  <c r="ER16" i="5"/>
  <c r="ER14" i="5"/>
  <c r="EO14" i="5"/>
  <c r="EO13" i="5"/>
  <c r="ER13" i="5"/>
  <c r="EN11" i="5"/>
  <c r="EN12" i="5"/>
  <c r="CT10" i="5"/>
  <c r="EP10" i="5" s="1"/>
  <c r="ER11" i="5"/>
  <c r="EO11" i="5"/>
  <c r="EN9" i="5"/>
  <c r="CT9" i="5"/>
  <c r="ER12" i="5"/>
  <c r="EO12" i="5"/>
  <c r="AB17" i="13"/>
  <c r="AB18" i="13" s="1"/>
  <c r="N6" i="13" s="1"/>
  <c r="AB17" i="14"/>
  <c r="AB18" i="14" s="1"/>
  <c r="N6" i="14" s="1"/>
  <c r="AG17" i="8"/>
  <c r="AG18" i="8" s="1"/>
  <c r="N6" i="8" s="1"/>
  <c r="EU19" i="5" l="1"/>
  <c r="K19" i="5" s="1"/>
  <c r="DB19" i="5" s="1"/>
  <c r="EU20" i="5"/>
  <c r="K20" i="5" s="1"/>
  <c r="DB20" i="5" s="1"/>
  <c r="EU14" i="5"/>
  <c r="K14" i="5" s="1"/>
  <c r="DB14" i="5" s="1"/>
  <c r="EU16" i="5"/>
  <c r="K16" i="5" s="1"/>
  <c r="DB16" i="5" s="1"/>
  <c r="EU22" i="5"/>
  <c r="K22" i="5" s="1"/>
  <c r="DB22" i="5" s="1"/>
  <c r="EP9" i="5"/>
  <c r="EQ9" i="5"/>
  <c r="ET9" i="5"/>
  <c r="ES9" i="5"/>
  <c r="EO18" i="5"/>
  <c r="EQ18" i="5"/>
  <c r="ET18" i="5"/>
  <c r="ES18" i="5"/>
  <c r="ER18" i="5"/>
  <c r="EQ15" i="5"/>
  <c r="ET15" i="5"/>
  <c r="ES15" i="5"/>
  <c r="ER15" i="5"/>
  <c r="EO15" i="5"/>
  <c r="EQ10" i="5"/>
  <c r="ER10" i="5"/>
  <c r="ET10" i="5"/>
  <c r="ES10" i="5"/>
  <c r="EU13" i="5"/>
  <c r="K13" i="5" s="1"/>
  <c r="DB13" i="5" s="1"/>
  <c r="EU17" i="5"/>
  <c r="K17" i="5" s="1"/>
  <c r="DB17" i="5" s="1"/>
  <c r="EU21" i="5"/>
  <c r="K21" i="5" s="1"/>
  <c r="DB21" i="5" s="1"/>
  <c r="EU23" i="5"/>
  <c r="K23" i="5" s="1"/>
  <c r="DB23" i="5" s="1"/>
  <c r="EO10" i="5"/>
  <c r="EU11" i="5"/>
  <c r="K11" i="5" s="1"/>
  <c r="DB11" i="5" s="1"/>
  <c r="EO9" i="5"/>
  <c r="ER9" i="5"/>
  <c r="EU12" i="5"/>
  <c r="K12" i="5" s="1"/>
  <c r="DB12" i="5" s="1"/>
  <c r="EU18" i="5" l="1"/>
  <c r="EU15" i="5"/>
  <c r="K15" i="5" s="1"/>
  <c r="DB15" i="5" s="1"/>
  <c r="K18" i="5"/>
  <c r="DB18" i="5" s="1"/>
  <c r="EU10" i="5"/>
  <c r="K10" i="5" s="1"/>
  <c r="DB10" i="5" s="1"/>
  <c r="EU9" i="5"/>
  <c r="K9" i="5" s="1"/>
  <c r="DB9" i="5" s="1"/>
  <c r="DD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3" authorId="0" shapeId="0" xr:uid="{00000000-0006-0000-0100-000001000000}">
      <text>
        <r>
          <rPr>
            <sz val="8"/>
            <color indexed="81"/>
            <rFont val="Tahoma"/>
            <family val="2"/>
          </rPr>
          <t>The</t>
        </r>
        <r>
          <rPr>
            <i/>
            <sz val="8"/>
            <color indexed="81"/>
            <rFont val="Tahoma"/>
            <family val="2"/>
          </rPr>
          <t xml:space="preserve"> Store Name</t>
        </r>
        <r>
          <rPr>
            <sz val="8"/>
            <color indexed="81"/>
            <rFont val="Tahoma"/>
            <family val="2"/>
          </rPr>
          <t xml:space="preserve"> List Can Be Populated 
When Entered On 
The</t>
        </r>
        <r>
          <rPr>
            <i/>
            <sz val="8"/>
            <color indexed="81"/>
            <rFont val="Tahoma"/>
            <family val="2"/>
          </rPr>
          <t xml:space="preserve"> Stores &amp; Delivery Addresses</t>
        </r>
        <r>
          <rPr>
            <sz val="8"/>
            <color indexed="81"/>
            <rFont val="Tahoma"/>
            <family val="2"/>
          </rPr>
          <t xml:space="preserve"> Tab.</t>
        </r>
      </text>
    </comment>
    <comment ref="D4" authorId="0" shapeId="0" xr:uid="{00000000-0006-0000-0100-000002000000}">
      <text>
        <r>
          <rPr>
            <sz val="8"/>
            <color indexed="81"/>
            <rFont val="Tahoma"/>
            <family val="2"/>
          </rPr>
          <t xml:space="preserve">The </t>
        </r>
        <r>
          <rPr>
            <i/>
            <sz val="8"/>
            <color indexed="81"/>
            <rFont val="Tahoma"/>
            <family val="2"/>
          </rPr>
          <t>Delivery Address</t>
        </r>
        <r>
          <rPr>
            <sz val="8"/>
            <color indexed="81"/>
            <rFont val="Tahoma"/>
            <family val="2"/>
          </rPr>
          <t xml:space="preserve"> List Can Be Populated 
When Entered On 
The </t>
        </r>
        <r>
          <rPr>
            <i/>
            <sz val="8"/>
            <color indexed="81"/>
            <rFont val="Tahoma"/>
            <family val="2"/>
          </rPr>
          <t>Stores &amp; Delivery Addresses</t>
        </r>
        <r>
          <rPr>
            <sz val="8"/>
            <color indexed="81"/>
            <rFont val="Tahoma"/>
            <family val="2"/>
          </rPr>
          <t xml:space="preserve"> Tab.</t>
        </r>
      </text>
    </comment>
    <comment ref="G16" authorId="0" shapeId="0" xr:uid="{00000000-0006-0000-0100-000003000000}">
      <text>
        <r>
          <rPr>
            <sz val="8"/>
            <color indexed="81"/>
            <rFont val="Tahoma"/>
            <family val="2"/>
          </rPr>
          <t>This is only applicable to Custom Made Blinds.
If a Shutter Corner Window is required, then please complete the appropriate Shutter diagram and submit with the Order.</t>
        </r>
      </text>
    </comment>
    <comment ref="J16" authorId="0" shapeId="0" xr:uid="{00000000-0006-0000-0100-000004000000}">
      <text>
        <r>
          <rPr>
            <sz val="8"/>
            <color indexed="81"/>
            <rFont val="Tahoma"/>
            <family val="2"/>
          </rPr>
          <t>This will auto-populate 
with "Yes" when entries are made in the CMB Corner Worksheet.</t>
        </r>
      </text>
    </comment>
    <comment ref="G19" authorId="0" shapeId="0" xr:uid="{00000000-0006-0000-0100-000005000000}">
      <text>
        <r>
          <rPr>
            <sz val="8"/>
            <color indexed="81"/>
            <rFont val="Tahoma"/>
            <family val="2"/>
          </rPr>
          <t>This is only applicable to Custom Made Blinds.
If a Shutter Bay Window is required, then please complete the appropriate Shutter diagram and submit with the Order.</t>
        </r>
      </text>
    </comment>
    <comment ref="J19" authorId="0" shapeId="0" xr:uid="{00000000-0006-0000-0100-000006000000}">
      <text>
        <r>
          <rPr>
            <sz val="8"/>
            <color indexed="81"/>
            <rFont val="Tahoma"/>
            <family val="2"/>
          </rPr>
          <t>This will auto-populate 
with "Yes" when entries are made in the CMB Bay Worksheet.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E25" authorId="0" shapeId="0" xr:uid="{00000000-0006-0000-0B00-000001000000}">
      <text>
        <r>
          <rPr>
            <sz val="8"/>
            <color indexed="81"/>
            <rFont val="Tahoma"/>
            <family val="2"/>
          </rPr>
          <t>ACT 
Actual Measurements
You have made the allowances.
NAM
No Allowances Made 
The factory will make the deductions.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25" authorId="0" shapeId="0" xr:uid="{00000000-0006-0000-0C00-000001000000}">
      <text>
        <r>
          <rPr>
            <sz val="8"/>
            <color indexed="81"/>
            <rFont val="Tahoma"/>
            <family val="2"/>
          </rPr>
          <t>ACT 
Actual Measurements
You have made the allowances.
NAM
No Allowances Made 
The factory will make the deductions.</t>
        </r>
      </text>
    </comment>
    <comment ref="E25" authorId="0" shapeId="0" xr:uid="{00000000-0006-0000-0C00-000002000000}">
      <text>
        <r>
          <rPr>
            <sz val="8"/>
            <color indexed="81"/>
            <rFont val="Tahoma"/>
            <family val="2"/>
          </rPr>
          <t>Has the Window been measured from the Front or Back.</t>
        </r>
      </text>
    </comment>
    <comment ref="F25" authorId="0" shapeId="0" xr:uid="{00000000-0006-0000-0C00-000003000000}">
      <text>
        <r>
          <rPr>
            <sz val="8"/>
            <color indexed="81"/>
            <rFont val="Tahoma"/>
            <family val="2"/>
          </rPr>
          <t>Enter the Angle 
of the Blind.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J7" authorId="0" shapeId="0" xr:uid="{00000000-0006-0000-0200-000001000000}">
      <text>
        <r>
          <rPr>
            <sz val="8"/>
            <color indexed="81"/>
            <rFont val="Tahoma"/>
            <family val="2"/>
          </rPr>
          <t>ACT 
Actual Measurements
You have made the allowances.
NAM
No Allowances Made 
The factory will make the deductions.</t>
        </r>
      </text>
    </comment>
    <comment ref="O7" authorId="0" shapeId="0" xr:uid="{00000000-0006-0000-0200-000002000000}">
      <text>
        <r>
          <rPr>
            <sz val="8"/>
            <color indexed="81"/>
            <rFont val="Tahoma"/>
            <family val="2"/>
          </rPr>
          <t>When left blank, 
no Cut Out applies.</t>
        </r>
      </text>
    </comment>
    <comment ref="F8" authorId="0" shapeId="0" xr:uid="{00000000-0006-0000-0200-000003000000}">
      <text>
        <r>
          <rPr>
            <sz val="8"/>
            <color indexed="81"/>
            <rFont val="Tahoma"/>
            <family val="2"/>
          </rPr>
          <t>Minimum Width is 270mm.
Maximum Width is 2700mm.
All openings over 2700mm wide will require 
multiple Blinds.</t>
        </r>
      </text>
    </comment>
    <comment ref="G8" authorId="0" shapeId="0" xr:uid="{00000000-0006-0000-0200-000004000000}">
      <text>
        <r>
          <rPr>
            <sz val="8"/>
            <color indexed="81"/>
            <rFont val="Tahoma"/>
            <family val="2"/>
          </rPr>
          <t>Maximum Height/Drop is 3600mm.</t>
        </r>
      </text>
    </comment>
    <comment ref="H8" authorId="0" shapeId="0" xr:uid="{00000000-0006-0000-0200-000005000000}">
      <text>
        <r>
          <rPr>
            <sz val="8"/>
            <color indexed="81"/>
            <rFont val="Tahoma"/>
            <family val="2"/>
          </rPr>
          <t>When selecting a
Corner or Bay Window Type, 
the CMB Corner WS or CMB Bay WS 
must be completed.</t>
        </r>
      </text>
    </comment>
    <comment ref="J8" authorId="0" shapeId="0" xr:uid="{00000000-0006-0000-0200-000006000000}">
      <text>
        <r>
          <rPr>
            <sz val="8"/>
            <color indexed="81"/>
            <rFont val="Tahoma"/>
            <family val="2"/>
          </rPr>
          <t>ACT 
Actual Measurements
You have made the allowances.
NAM
No Allowances Made 
The factory will make the deductions.</t>
        </r>
      </text>
    </comment>
    <comment ref="O8" authorId="0" shapeId="0" xr:uid="{00000000-0006-0000-0200-000007000000}">
      <text>
        <r>
          <rPr>
            <sz val="8"/>
            <color indexed="81"/>
            <rFont val="Tahoma"/>
            <family val="2"/>
          </rPr>
          <t>When Yes, Cut Out measurements must be supplied in the next cells.</t>
        </r>
      </text>
    </comment>
    <comment ref="R8" authorId="0" shapeId="0" xr:uid="{00000000-0006-0000-0200-000008000000}">
      <text>
        <r>
          <rPr>
            <sz val="8"/>
            <color indexed="81"/>
            <rFont val="Tahoma"/>
            <family val="2"/>
          </rPr>
          <t>Blind Width          Maximum Cut Out Width
270 - 299mm       80mm
300 - 400mm       90mm
401 - 527mm        110mm
528 - 850mm       140mm
  &gt; 851mm              165mm</t>
        </r>
      </text>
    </comment>
    <comment ref="T8" authorId="0" shapeId="0" xr:uid="{00000000-0006-0000-0200-000009000000}">
      <text>
        <r>
          <rPr>
            <sz val="8"/>
            <color indexed="81"/>
            <rFont val="Tahoma"/>
            <family val="2"/>
          </rPr>
          <t>Blind Width          Maximum Cut Out Width
270 - 299mm       80mm
300 - 400mm       90mm
401 - 527mm        110mm
528 - 850mm       140mm
  &gt; 851mm              165mm</t>
        </r>
      </text>
    </comment>
    <comment ref="F9" authorId="0" shapeId="0" xr:uid="{00000000-0006-0000-0200-00000A000000}">
      <text>
        <r>
          <rPr>
            <sz val="8"/>
            <color indexed="81"/>
            <rFont val="Tahoma"/>
            <family val="2"/>
          </rPr>
          <t>Minimum Width is 270mm.
Maximum Width is 2700mm.
All openings over 2700mm wide will require 
multiple Blinds.</t>
        </r>
      </text>
    </comment>
    <comment ref="G9" authorId="0" shapeId="0" xr:uid="{00000000-0006-0000-0200-00000B000000}">
      <text>
        <r>
          <rPr>
            <sz val="8"/>
            <color indexed="81"/>
            <rFont val="Tahoma"/>
            <family val="2"/>
          </rPr>
          <t>Maximum Height/Drop is 3600mm.</t>
        </r>
      </text>
    </comment>
    <comment ref="H9" authorId="0" shapeId="0" xr:uid="{00000000-0006-0000-0200-00000C000000}">
      <text>
        <r>
          <rPr>
            <sz val="8"/>
            <color indexed="81"/>
            <rFont val="Tahoma"/>
            <family val="2"/>
          </rPr>
          <t>When selecting a
Corner or Bay Window Type, 
the CMB Corner WS or CMB Bay WS 
must be completed.</t>
        </r>
      </text>
    </comment>
    <comment ref="J9" authorId="0" shapeId="0" xr:uid="{00000000-0006-0000-0200-00000D000000}">
      <text>
        <r>
          <rPr>
            <sz val="8"/>
            <color indexed="81"/>
            <rFont val="Tahoma"/>
            <family val="2"/>
          </rPr>
          <t>ACT 
Actual Measurements
You have made the allowances.
NAM
No Allowances Made 
The factory will make the deductions.</t>
        </r>
      </text>
    </comment>
    <comment ref="O9" authorId="0" shapeId="0" xr:uid="{00000000-0006-0000-0200-00000E000000}">
      <text>
        <r>
          <rPr>
            <sz val="8"/>
            <color indexed="81"/>
            <rFont val="Tahoma"/>
            <family val="2"/>
          </rPr>
          <t>When Yes, Cut Out measurements must be supplied in the next cells.</t>
        </r>
      </text>
    </comment>
    <comment ref="R9" authorId="0" shapeId="0" xr:uid="{00000000-0006-0000-0200-00000F000000}">
      <text>
        <r>
          <rPr>
            <sz val="8"/>
            <color indexed="81"/>
            <rFont val="Tahoma"/>
            <family val="2"/>
          </rPr>
          <t>Blind Width          Maximum Cut Out Width
270 - 299mm       80mm
300 - 400mm       90mm
401 - 527mm        110mm
528 - 850mm       140mm
  &gt; 851mm              165mm</t>
        </r>
      </text>
    </comment>
    <comment ref="T9" authorId="0" shapeId="0" xr:uid="{00000000-0006-0000-0200-000010000000}">
      <text>
        <r>
          <rPr>
            <sz val="8"/>
            <color indexed="81"/>
            <rFont val="Tahoma"/>
            <family val="2"/>
          </rPr>
          <t>Blind Width          Maximum Cut Out Width
270 - 299mm       80mm
300 - 400mm       90mm
401 - 527mm        110mm
528 - 850mm       140mm
  &gt; 851mm              165mm</t>
        </r>
      </text>
    </comment>
    <comment ref="F10" authorId="0" shapeId="0" xr:uid="{00000000-0006-0000-0200-000011000000}">
      <text>
        <r>
          <rPr>
            <sz val="8"/>
            <color indexed="81"/>
            <rFont val="Tahoma"/>
            <family val="2"/>
          </rPr>
          <t>Minimum Width is 270mm.
Maximum Width is 2700mm.
All openings over 2700mm wide will require 
multiple Blinds.</t>
        </r>
      </text>
    </comment>
    <comment ref="G10" authorId="0" shapeId="0" xr:uid="{00000000-0006-0000-0200-000012000000}">
      <text>
        <r>
          <rPr>
            <sz val="8"/>
            <color indexed="81"/>
            <rFont val="Tahoma"/>
            <family val="2"/>
          </rPr>
          <t>Maximum Height/Drop is 3600mm.</t>
        </r>
      </text>
    </comment>
    <comment ref="H10" authorId="0" shapeId="0" xr:uid="{00000000-0006-0000-0200-000013000000}">
      <text>
        <r>
          <rPr>
            <sz val="8"/>
            <color indexed="81"/>
            <rFont val="Tahoma"/>
            <family val="2"/>
          </rPr>
          <t>When selecting a
Corner or Bay Window Type, 
the CMB Corner WS or CMB Bay WS 
must be completed.</t>
        </r>
      </text>
    </comment>
    <comment ref="J10" authorId="0" shapeId="0" xr:uid="{00000000-0006-0000-0200-000014000000}">
      <text>
        <r>
          <rPr>
            <sz val="8"/>
            <color indexed="81"/>
            <rFont val="Tahoma"/>
            <family val="2"/>
          </rPr>
          <t>ACT 
Actual Measurements
You have made the allowances.
NAM
No Allowances Made 
The factory will make the deductions.</t>
        </r>
      </text>
    </comment>
    <comment ref="O10" authorId="0" shapeId="0" xr:uid="{00000000-0006-0000-0200-000015000000}">
      <text>
        <r>
          <rPr>
            <sz val="8"/>
            <color indexed="81"/>
            <rFont val="Tahoma"/>
            <family val="2"/>
          </rPr>
          <t>When Yes, Cut Out measurements must be supplied in the next cells.</t>
        </r>
      </text>
    </comment>
    <comment ref="R10" authorId="0" shapeId="0" xr:uid="{00000000-0006-0000-0200-000016000000}">
      <text>
        <r>
          <rPr>
            <sz val="8"/>
            <color indexed="81"/>
            <rFont val="Tahoma"/>
            <family val="2"/>
          </rPr>
          <t>Blind Width          Maximum Cut Out Width
270 - 299mm       80mm
300 - 400mm       90mm
401 - 527mm        110mm
528 - 850mm       140mm
  &gt; 851mm              165mm</t>
        </r>
      </text>
    </comment>
    <comment ref="T10" authorId="0" shapeId="0" xr:uid="{00000000-0006-0000-0200-000017000000}">
      <text>
        <r>
          <rPr>
            <sz val="8"/>
            <color indexed="81"/>
            <rFont val="Tahoma"/>
            <family val="2"/>
          </rPr>
          <t>Blind Width          Maximum Cut Out Width
270 - 299mm       80mm
300 - 400mm       90mm
401 - 527mm        110mm
528 - 850mm       140mm
  &gt; 851mm              165mm</t>
        </r>
      </text>
    </comment>
    <comment ref="F11" authorId="0" shapeId="0" xr:uid="{00000000-0006-0000-0200-000018000000}">
      <text>
        <r>
          <rPr>
            <sz val="8"/>
            <color indexed="81"/>
            <rFont val="Tahoma"/>
            <family val="2"/>
          </rPr>
          <t>Minimum Width is 270mm.
Maximum Width is 2700mm.
All openings over 2700mm wide will require 
multiple Blinds.</t>
        </r>
      </text>
    </comment>
    <comment ref="G11" authorId="0" shapeId="0" xr:uid="{00000000-0006-0000-0200-000019000000}">
      <text>
        <r>
          <rPr>
            <sz val="8"/>
            <color indexed="81"/>
            <rFont val="Tahoma"/>
            <family val="2"/>
          </rPr>
          <t>Maximum Height/Drop is 3600mm.</t>
        </r>
      </text>
    </comment>
    <comment ref="H11" authorId="0" shapeId="0" xr:uid="{00000000-0006-0000-0200-00001A000000}">
      <text>
        <r>
          <rPr>
            <sz val="8"/>
            <color indexed="81"/>
            <rFont val="Tahoma"/>
            <family val="2"/>
          </rPr>
          <t>When selecting a
Corner or Bay Window Type, 
the CMB Corner WS or CMB Bay WS 
must be completed.</t>
        </r>
      </text>
    </comment>
    <comment ref="J11" authorId="0" shapeId="0" xr:uid="{00000000-0006-0000-0200-00001B000000}">
      <text>
        <r>
          <rPr>
            <sz val="8"/>
            <color indexed="81"/>
            <rFont val="Tahoma"/>
            <family val="2"/>
          </rPr>
          <t>ACT 
Actual Measurements
You have made the allowances.
NAM
No Allowances Made 
The factory will make the deductions.</t>
        </r>
      </text>
    </comment>
    <comment ref="O11" authorId="0" shapeId="0" xr:uid="{00000000-0006-0000-0200-00001C000000}">
      <text>
        <r>
          <rPr>
            <sz val="8"/>
            <color indexed="81"/>
            <rFont val="Tahoma"/>
            <family val="2"/>
          </rPr>
          <t>When Yes, Cut Out measurements must be supplied in the next cells.</t>
        </r>
      </text>
    </comment>
    <comment ref="R11" authorId="0" shapeId="0" xr:uid="{00000000-0006-0000-0200-00001D000000}">
      <text>
        <r>
          <rPr>
            <sz val="8"/>
            <color indexed="81"/>
            <rFont val="Tahoma"/>
            <family val="2"/>
          </rPr>
          <t>Blind Width          Maximum Cut Out Width
270 - 299mm       80mm
300 - 400mm       90mm
401 - 527mm        110mm
528 - 850mm       140mm
  &gt; 851mm              165mm</t>
        </r>
      </text>
    </comment>
    <comment ref="T11" authorId="0" shapeId="0" xr:uid="{00000000-0006-0000-0200-00001E000000}">
      <text>
        <r>
          <rPr>
            <sz val="8"/>
            <color indexed="81"/>
            <rFont val="Tahoma"/>
            <family val="2"/>
          </rPr>
          <t>Blind Width          Maximum Cut Out Width
270 - 299mm       80mm
300 - 400mm       90mm
401 - 527mm        110mm
528 - 850mm       140mm
  &gt; 851mm              165mm</t>
        </r>
      </text>
    </comment>
    <comment ref="F12" authorId="0" shapeId="0" xr:uid="{00000000-0006-0000-0200-00001F000000}">
      <text>
        <r>
          <rPr>
            <sz val="8"/>
            <color indexed="81"/>
            <rFont val="Tahoma"/>
            <family val="2"/>
          </rPr>
          <t>Minimum Width is 270mm.
Maximum Width is 2700mm.
All openings over 2700mm wide will require 
multiple Blinds.</t>
        </r>
      </text>
    </comment>
    <comment ref="G12" authorId="0" shapeId="0" xr:uid="{00000000-0006-0000-0200-000020000000}">
      <text>
        <r>
          <rPr>
            <sz val="8"/>
            <color indexed="81"/>
            <rFont val="Tahoma"/>
            <family val="2"/>
          </rPr>
          <t>Maximum Height/Drop is 3600mm.</t>
        </r>
      </text>
    </comment>
    <comment ref="H12" authorId="0" shapeId="0" xr:uid="{00000000-0006-0000-0200-000021000000}">
      <text>
        <r>
          <rPr>
            <sz val="8"/>
            <color indexed="81"/>
            <rFont val="Tahoma"/>
            <family val="2"/>
          </rPr>
          <t>When selecting a
Corner or Bay Window Type, 
the CMB Corner WS or CMB Bay WS 
must be completed.</t>
        </r>
      </text>
    </comment>
    <comment ref="J12" authorId="0" shapeId="0" xr:uid="{00000000-0006-0000-0200-000022000000}">
      <text>
        <r>
          <rPr>
            <sz val="8"/>
            <color indexed="81"/>
            <rFont val="Tahoma"/>
            <family val="2"/>
          </rPr>
          <t>ACT 
Actual Measurements
You have made the allowances.
NAM
No Allowances Made 
The factory will make the deductions.</t>
        </r>
      </text>
    </comment>
    <comment ref="O12" authorId="0" shapeId="0" xr:uid="{00000000-0006-0000-0200-000023000000}">
      <text>
        <r>
          <rPr>
            <sz val="8"/>
            <color indexed="81"/>
            <rFont val="Tahoma"/>
            <family val="2"/>
          </rPr>
          <t>When Yes, Cut Out measurements must be supplied in the next cells.</t>
        </r>
      </text>
    </comment>
    <comment ref="R12" authorId="0" shapeId="0" xr:uid="{00000000-0006-0000-0200-000024000000}">
      <text>
        <r>
          <rPr>
            <sz val="8"/>
            <color indexed="81"/>
            <rFont val="Tahoma"/>
            <family val="2"/>
          </rPr>
          <t>Blind Width          Maximum Cut Out Width
270 - 299mm       80mm
300 - 400mm       90mm
401 - 527mm        110mm
528 - 850mm       140mm
  &gt; 851mm              165mm</t>
        </r>
      </text>
    </comment>
    <comment ref="T12" authorId="0" shapeId="0" xr:uid="{00000000-0006-0000-0200-000025000000}">
      <text>
        <r>
          <rPr>
            <sz val="8"/>
            <color indexed="81"/>
            <rFont val="Tahoma"/>
            <family val="2"/>
          </rPr>
          <t>Blind Width          Maximum Cut Out Width
270 - 299mm       80mm
300 - 400mm       90mm
401 - 527mm        110mm
528 - 850mm       140mm
  &gt; 851mm              165mm</t>
        </r>
      </text>
    </comment>
    <comment ref="F13" authorId="0" shapeId="0" xr:uid="{00000000-0006-0000-0200-000026000000}">
      <text>
        <r>
          <rPr>
            <sz val="8"/>
            <color indexed="81"/>
            <rFont val="Tahoma"/>
            <family val="2"/>
          </rPr>
          <t>Minimum Width is 270mm.
Maximum Width is 2700mm.
All openings over 2700mm wide will require 
multiple Blinds.</t>
        </r>
      </text>
    </comment>
    <comment ref="G13" authorId="0" shapeId="0" xr:uid="{00000000-0006-0000-0200-000027000000}">
      <text>
        <r>
          <rPr>
            <sz val="8"/>
            <color indexed="81"/>
            <rFont val="Tahoma"/>
            <family val="2"/>
          </rPr>
          <t>Maximum Height/Drop is 3600mm.</t>
        </r>
      </text>
    </comment>
    <comment ref="H13" authorId="0" shapeId="0" xr:uid="{00000000-0006-0000-0200-000028000000}">
      <text>
        <r>
          <rPr>
            <sz val="8"/>
            <color indexed="81"/>
            <rFont val="Tahoma"/>
            <family val="2"/>
          </rPr>
          <t>When selecting a
Corner or Bay Window Type, 
the CMB Corner WS or CMB Bay WS 
must be completed.</t>
        </r>
      </text>
    </comment>
    <comment ref="J13" authorId="0" shapeId="0" xr:uid="{00000000-0006-0000-0200-000029000000}">
      <text>
        <r>
          <rPr>
            <sz val="8"/>
            <color indexed="81"/>
            <rFont val="Tahoma"/>
            <family val="2"/>
          </rPr>
          <t>ACT 
Actual Measurements
You have made the allowances.
NAM
No Allowances Made 
The factory will make the deductions.</t>
        </r>
      </text>
    </comment>
    <comment ref="O13" authorId="0" shapeId="0" xr:uid="{00000000-0006-0000-0200-00002A000000}">
      <text>
        <r>
          <rPr>
            <sz val="8"/>
            <color indexed="81"/>
            <rFont val="Tahoma"/>
            <family val="2"/>
          </rPr>
          <t>When Yes, Cut Out measurements must be supplied in the next cells.</t>
        </r>
      </text>
    </comment>
    <comment ref="R13" authorId="0" shapeId="0" xr:uid="{00000000-0006-0000-0200-00002B000000}">
      <text>
        <r>
          <rPr>
            <sz val="8"/>
            <color indexed="81"/>
            <rFont val="Tahoma"/>
            <family val="2"/>
          </rPr>
          <t>Blind Width          Maximum Cut Out Width
270 - 299mm       80mm
300 - 400mm       90mm
401 - 527mm        110mm
528 - 850mm       140mm
  &gt; 851mm              165mm</t>
        </r>
      </text>
    </comment>
    <comment ref="T13" authorId="0" shapeId="0" xr:uid="{00000000-0006-0000-0200-00002C000000}">
      <text>
        <r>
          <rPr>
            <sz val="8"/>
            <color indexed="81"/>
            <rFont val="Tahoma"/>
            <family val="2"/>
          </rPr>
          <t>Blind Width          Maximum Cut Out Width
270 - 299mm       80mm
300 - 400mm       90mm
401 - 527mm        110mm
528 - 850mm       140mm
  &gt; 851mm              165mm</t>
        </r>
      </text>
    </comment>
    <comment ref="F14" authorId="0" shapeId="0" xr:uid="{00000000-0006-0000-0200-00002D000000}">
      <text>
        <r>
          <rPr>
            <sz val="8"/>
            <color indexed="81"/>
            <rFont val="Tahoma"/>
            <family val="2"/>
          </rPr>
          <t>Minimum Width is 270mm.
Maximum Width is 2700mm.
All openings over 2700mm wide will require 
multiple Blinds.</t>
        </r>
      </text>
    </comment>
    <comment ref="G14" authorId="0" shapeId="0" xr:uid="{00000000-0006-0000-0200-00002E000000}">
      <text>
        <r>
          <rPr>
            <sz val="8"/>
            <color indexed="81"/>
            <rFont val="Tahoma"/>
            <family val="2"/>
          </rPr>
          <t>Maximum Height/Drop is 3600mm.</t>
        </r>
      </text>
    </comment>
    <comment ref="H14" authorId="0" shapeId="0" xr:uid="{00000000-0006-0000-0200-00002F000000}">
      <text>
        <r>
          <rPr>
            <sz val="8"/>
            <color indexed="81"/>
            <rFont val="Tahoma"/>
            <family val="2"/>
          </rPr>
          <t>When selecting a
Corner or Bay Window Type, 
the CMB Corner WS or CMB Bay WS 
must be completed.</t>
        </r>
      </text>
    </comment>
    <comment ref="J14" authorId="0" shapeId="0" xr:uid="{00000000-0006-0000-0200-000030000000}">
      <text>
        <r>
          <rPr>
            <sz val="8"/>
            <color indexed="81"/>
            <rFont val="Tahoma"/>
            <family val="2"/>
          </rPr>
          <t>ACT 
Actual Measurements
You have made the allowances.
NAM
No Allowances Made 
The factory will make the deductions.</t>
        </r>
      </text>
    </comment>
    <comment ref="O14" authorId="0" shapeId="0" xr:uid="{00000000-0006-0000-0200-000031000000}">
      <text>
        <r>
          <rPr>
            <sz val="8"/>
            <color indexed="81"/>
            <rFont val="Tahoma"/>
            <family val="2"/>
          </rPr>
          <t>When Yes, Cut Out measurements must be supplied in the next cells.</t>
        </r>
      </text>
    </comment>
    <comment ref="R14" authorId="0" shapeId="0" xr:uid="{00000000-0006-0000-0200-000032000000}">
      <text>
        <r>
          <rPr>
            <sz val="8"/>
            <color indexed="81"/>
            <rFont val="Tahoma"/>
            <family val="2"/>
          </rPr>
          <t>Blind Width          Maximum Cut Out Width
270 - 299mm       80mm
300 - 400mm       90mm
401 - 527mm        110mm
528 - 850mm       140mm
  &gt; 851mm              165mm</t>
        </r>
      </text>
    </comment>
    <comment ref="T14" authorId="0" shapeId="0" xr:uid="{00000000-0006-0000-0200-000033000000}">
      <text>
        <r>
          <rPr>
            <sz val="8"/>
            <color indexed="81"/>
            <rFont val="Tahoma"/>
            <family val="2"/>
          </rPr>
          <t>Blind Width          Maximum Cut Out Width
270 - 299mm       80mm
300 - 400mm       90mm
401 - 527mm        110mm
528 - 850mm       140mm
  &gt; 851mm              165mm</t>
        </r>
      </text>
    </comment>
    <comment ref="F15" authorId="0" shapeId="0" xr:uid="{00000000-0006-0000-0200-000034000000}">
      <text>
        <r>
          <rPr>
            <sz val="8"/>
            <color indexed="81"/>
            <rFont val="Tahoma"/>
            <family val="2"/>
          </rPr>
          <t>Minimum Width is 270mm.
Maximum Width is 2700mm.
All openings over 2700mm wide will require 
multiple Blinds.</t>
        </r>
      </text>
    </comment>
    <comment ref="G15" authorId="0" shapeId="0" xr:uid="{00000000-0006-0000-0200-000035000000}">
      <text>
        <r>
          <rPr>
            <sz val="8"/>
            <color indexed="81"/>
            <rFont val="Tahoma"/>
            <family val="2"/>
          </rPr>
          <t>Maximum Height/Drop is 3600mm.</t>
        </r>
      </text>
    </comment>
    <comment ref="H15" authorId="0" shapeId="0" xr:uid="{00000000-0006-0000-0200-000036000000}">
      <text>
        <r>
          <rPr>
            <sz val="8"/>
            <color indexed="81"/>
            <rFont val="Tahoma"/>
            <family val="2"/>
          </rPr>
          <t>When selecting a
Corner or Bay Window Type, 
the CMB Corner WS or CMB Bay WS 
must be completed.</t>
        </r>
      </text>
    </comment>
    <comment ref="J15" authorId="0" shapeId="0" xr:uid="{00000000-0006-0000-0200-000037000000}">
      <text>
        <r>
          <rPr>
            <sz val="8"/>
            <color indexed="81"/>
            <rFont val="Tahoma"/>
            <family val="2"/>
          </rPr>
          <t>ACT 
Actual Measurements
You have made the allowances.
NAM
No Allowances Made 
The factory will make the deductions.</t>
        </r>
      </text>
    </comment>
    <comment ref="O15" authorId="0" shapeId="0" xr:uid="{00000000-0006-0000-0200-000038000000}">
      <text>
        <r>
          <rPr>
            <sz val="8"/>
            <color indexed="81"/>
            <rFont val="Tahoma"/>
            <family val="2"/>
          </rPr>
          <t>When Yes, Cut Out measurements must be supplied in the next cells.</t>
        </r>
      </text>
    </comment>
    <comment ref="R15" authorId="0" shapeId="0" xr:uid="{00000000-0006-0000-0200-000039000000}">
      <text>
        <r>
          <rPr>
            <sz val="8"/>
            <color indexed="81"/>
            <rFont val="Tahoma"/>
            <family val="2"/>
          </rPr>
          <t>Blind Width          Maximum Cut Out Width
270 - 299mm       80mm
300 - 400mm       90mm
401 - 527mm        110mm
528 - 850mm       140mm
  &gt; 851mm              165mm</t>
        </r>
      </text>
    </comment>
    <comment ref="T15" authorId="0" shapeId="0" xr:uid="{00000000-0006-0000-0200-00003A000000}">
      <text>
        <r>
          <rPr>
            <sz val="8"/>
            <color indexed="81"/>
            <rFont val="Tahoma"/>
            <family val="2"/>
          </rPr>
          <t>Blind Width          Maximum Cut Out Width
270 - 299mm       80mm
300 - 400mm       90mm
401 - 527mm        110mm
528 - 850mm       140mm
  &gt; 851mm              165mm</t>
        </r>
      </text>
    </comment>
    <comment ref="F16" authorId="0" shapeId="0" xr:uid="{00000000-0006-0000-0200-00003B000000}">
      <text>
        <r>
          <rPr>
            <sz val="8"/>
            <color indexed="81"/>
            <rFont val="Tahoma"/>
            <family val="2"/>
          </rPr>
          <t>Minimum Width is 270mm.
Maximum Width is 2700mm.
All openings over 2700mm wide will require 
multiple Blinds.</t>
        </r>
      </text>
    </comment>
    <comment ref="G16" authorId="0" shapeId="0" xr:uid="{00000000-0006-0000-0200-00003C000000}">
      <text>
        <r>
          <rPr>
            <sz val="8"/>
            <color indexed="81"/>
            <rFont val="Tahoma"/>
            <family val="2"/>
          </rPr>
          <t>Maximum Height/Drop is 3600mm.</t>
        </r>
      </text>
    </comment>
    <comment ref="H16" authorId="0" shapeId="0" xr:uid="{00000000-0006-0000-0200-00003D000000}">
      <text>
        <r>
          <rPr>
            <sz val="8"/>
            <color indexed="81"/>
            <rFont val="Tahoma"/>
            <family val="2"/>
          </rPr>
          <t>When selecting a
Corner or Bay Window Type, 
the CMB Corner WS or CMB Bay WS 
must be completed.</t>
        </r>
      </text>
    </comment>
    <comment ref="J16" authorId="0" shapeId="0" xr:uid="{00000000-0006-0000-0200-00003E000000}">
      <text>
        <r>
          <rPr>
            <sz val="8"/>
            <color indexed="81"/>
            <rFont val="Tahoma"/>
            <family val="2"/>
          </rPr>
          <t>ACT 
Actual Measurements
You have made the allowances.
NAM
No Allowances Made 
The factory will make the deductions.</t>
        </r>
      </text>
    </comment>
    <comment ref="O16" authorId="0" shapeId="0" xr:uid="{00000000-0006-0000-0200-00003F000000}">
      <text>
        <r>
          <rPr>
            <sz val="8"/>
            <color indexed="81"/>
            <rFont val="Tahoma"/>
            <family val="2"/>
          </rPr>
          <t>When Yes, Cut Out measurements must be supplied in the next cells.</t>
        </r>
      </text>
    </comment>
    <comment ref="R16" authorId="0" shapeId="0" xr:uid="{00000000-0006-0000-0200-000040000000}">
      <text>
        <r>
          <rPr>
            <sz val="8"/>
            <color indexed="81"/>
            <rFont val="Tahoma"/>
            <family val="2"/>
          </rPr>
          <t>Blind Width          Maximum Cut Out Width
270 - 299mm       80mm
300 - 400mm       90mm
401 - 527mm        110mm
528 - 850mm       140mm
  &gt; 851mm              165mm</t>
        </r>
      </text>
    </comment>
    <comment ref="T16" authorId="0" shapeId="0" xr:uid="{00000000-0006-0000-0200-000041000000}">
      <text>
        <r>
          <rPr>
            <sz val="8"/>
            <color indexed="81"/>
            <rFont val="Tahoma"/>
            <family val="2"/>
          </rPr>
          <t>Blind Width          Maximum Cut Out Width
270 - 299mm       80mm
300 - 400mm       90mm
401 - 527mm        110mm
528 - 850mm       140mm
  &gt; 851mm              165mm</t>
        </r>
      </text>
    </comment>
    <comment ref="F17" authorId="0" shapeId="0" xr:uid="{00000000-0006-0000-0200-000042000000}">
      <text>
        <r>
          <rPr>
            <sz val="8"/>
            <color indexed="81"/>
            <rFont val="Tahoma"/>
            <family val="2"/>
          </rPr>
          <t>Minimum Width is 270mm.
Maximum Width is 2700mm.
All openings over 2700mm wide will require 
multiple Blinds.</t>
        </r>
      </text>
    </comment>
    <comment ref="G17" authorId="0" shapeId="0" xr:uid="{00000000-0006-0000-0200-000043000000}">
      <text>
        <r>
          <rPr>
            <sz val="8"/>
            <color indexed="81"/>
            <rFont val="Tahoma"/>
            <family val="2"/>
          </rPr>
          <t>Maximum Height/Drop is 3600mm.</t>
        </r>
      </text>
    </comment>
    <comment ref="H17" authorId="0" shapeId="0" xr:uid="{00000000-0006-0000-0200-000044000000}">
      <text>
        <r>
          <rPr>
            <sz val="8"/>
            <color indexed="81"/>
            <rFont val="Tahoma"/>
            <family val="2"/>
          </rPr>
          <t>When selecting a
Corner or Bay Window Type, 
the CMB Corner WS or CMB Bay WS 
must be completed.</t>
        </r>
      </text>
    </comment>
    <comment ref="J17" authorId="0" shapeId="0" xr:uid="{00000000-0006-0000-0200-000045000000}">
      <text>
        <r>
          <rPr>
            <sz val="8"/>
            <color indexed="81"/>
            <rFont val="Tahoma"/>
            <family val="2"/>
          </rPr>
          <t>ACT 
Actual Measurements
You have made the allowances.
NAM
No Allowances Made 
The factory will make the deductions.</t>
        </r>
      </text>
    </comment>
    <comment ref="O17" authorId="0" shapeId="0" xr:uid="{00000000-0006-0000-0200-000046000000}">
      <text>
        <r>
          <rPr>
            <sz val="8"/>
            <color indexed="81"/>
            <rFont val="Tahoma"/>
            <family val="2"/>
          </rPr>
          <t>When Yes, Cut Out measurements must be supplied in the next cells.</t>
        </r>
      </text>
    </comment>
    <comment ref="R17" authorId="0" shapeId="0" xr:uid="{00000000-0006-0000-0200-000047000000}">
      <text>
        <r>
          <rPr>
            <sz val="8"/>
            <color indexed="81"/>
            <rFont val="Tahoma"/>
            <family val="2"/>
          </rPr>
          <t>Blind Width          Maximum Cut Out Width
270 - 299mm       80mm
300 - 400mm       90mm
401 - 527mm        110mm
528 - 850mm       140mm
  &gt; 851mm              165mm</t>
        </r>
      </text>
    </comment>
    <comment ref="T17" authorId="0" shapeId="0" xr:uid="{00000000-0006-0000-0200-000048000000}">
      <text>
        <r>
          <rPr>
            <sz val="8"/>
            <color indexed="81"/>
            <rFont val="Tahoma"/>
            <family val="2"/>
          </rPr>
          <t>Blind Width          Maximum Cut Out Width
270 - 299mm       80mm
300 - 400mm       90mm
401 - 527mm        110mm
528 - 850mm       140mm
  &gt; 851mm              165mm</t>
        </r>
      </text>
    </comment>
    <comment ref="F18" authorId="0" shapeId="0" xr:uid="{00000000-0006-0000-0200-000049000000}">
      <text>
        <r>
          <rPr>
            <sz val="8"/>
            <color indexed="81"/>
            <rFont val="Tahoma"/>
            <family val="2"/>
          </rPr>
          <t>Minimum Width is 270mm.
Maximum Width is 2700mm.
All openings over 2700mm wide will require 
multiple Blinds.</t>
        </r>
      </text>
    </comment>
    <comment ref="G18" authorId="0" shapeId="0" xr:uid="{00000000-0006-0000-0200-00004A000000}">
      <text>
        <r>
          <rPr>
            <sz val="8"/>
            <color indexed="81"/>
            <rFont val="Tahoma"/>
            <family val="2"/>
          </rPr>
          <t>Maximum Height/Drop is 3600mm.</t>
        </r>
      </text>
    </comment>
    <comment ref="H18" authorId="0" shapeId="0" xr:uid="{00000000-0006-0000-0200-00004B000000}">
      <text>
        <r>
          <rPr>
            <sz val="8"/>
            <color indexed="81"/>
            <rFont val="Tahoma"/>
            <family val="2"/>
          </rPr>
          <t>When selecting a
Corner or Bay Window Type, 
the CMB Corner WS or CMB Bay WS 
must be completed.</t>
        </r>
      </text>
    </comment>
    <comment ref="J18" authorId="0" shapeId="0" xr:uid="{00000000-0006-0000-0200-00004C000000}">
      <text>
        <r>
          <rPr>
            <sz val="8"/>
            <color indexed="81"/>
            <rFont val="Tahoma"/>
            <family val="2"/>
          </rPr>
          <t>ACT 
Actual Measurements
You have made the allowances.
NAM
No Allowances Made 
The factory will make the deductions.</t>
        </r>
      </text>
    </comment>
    <comment ref="O18" authorId="0" shapeId="0" xr:uid="{00000000-0006-0000-0200-00004D000000}">
      <text>
        <r>
          <rPr>
            <sz val="8"/>
            <color indexed="81"/>
            <rFont val="Tahoma"/>
            <family val="2"/>
          </rPr>
          <t>When Yes, Cut Out measurements must be supplied in the next cells.</t>
        </r>
      </text>
    </comment>
    <comment ref="R18" authorId="0" shapeId="0" xr:uid="{00000000-0006-0000-0200-00004E000000}">
      <text>
        <r>
          <rPr>
            <sz val="8"/>
            <color indexed="81"/>
            <rFont val="Tahoma"/>
            <family val="2"/>
          </rPr>
          <t>Blind Width          Maximum Cut Out Width
270 - 299mm       80mm
300 - 400mm       90mm
401 - 527mm        110mm
528 - 850mm       140mm
  &gt; 851mm              165mm</t>
        </r>
      </text>
    </comment>
    <comment ref="T18" authorId="0" shapeId="0" xr:uid="{00000000-0006-0000-0200-00004F000000}">
      <text>
        <r>
          <rPr>
            <sz val="8"/>
            <color indexed="81"/>
            <rFont val="Tahoma"/>
            <family val="2"/>
          </rPr>
          <t>Blind Width          Maximum Cut Out Width
270 - 299mm       80mm
300 - 400mm       90mm
401 - 527mm        110mm
528 - 850mm       140mm
  &gt; 851mm              165mm</t>
        </r>
      </text>
    </comment>
    <comment ref="F19" authorId="0" shapeId="0" xr:uid="{00000000-0006-0000-0200-000050000000}">
      <text>
        <r>
          <rPr>
            <sz val="8"/>
            <color indexed="81"/>
            <rFont val="Tahoma"/>
            <family val="2"/>
          </rPr>
          <t>Minimum Width is 270mm.
Maximum Width is 2700mm.
All openings over 2700mm wide will require 
multiple Blinds.</t>
        </r>
      </text>
    </comment>
    <comment ref="G19" authorId="0" shapeId="0" xr:uid="{00000000-0006-0000-0200-000051000000}">
      <text>
        <r>
          <rPr>
            <sz val="8"/>
            <color indexed="81"/>
            <rFont val="Tahoma"/>
            <family val="2"/>
          </rPr>
          <t>Maximum Height/Drop is 3600mm.</t>
        </r>
      </text>
    </comment>
    <comment ref="H19" authorId="0" shapeId="0" xr:uid="{00000000-0006-0000-0200-000052000000}">
      <text>
        <r>
          <rPr>
            <sz val="8"/>
            <color indexed="81"/>
            <rFont val="Tahoma"/>
            <family val="2"/>
          </rPr>
          <t>When selecting a
Corner or Bay Window Type, 
the CMB Corner WS or CMB Bay WS 
must be completed.</t>
        </r>
      </text>
    </comment>
    <comment ref="J19" authorId="0" shapeId="0" xr:uid="{00000000-0006-0000-0200-000053000000}">
      <text>
        <r>
          <rPr>
            <sz val="8"/>
            <color indexed="81"/>
            <rFont val="Tahoma"/>
            <family val="2"/>
          </rPr>
          <t>ACT 
Actual Measurements
You have made the allowances.
NAM
No Allowances Made 
The factory will make the deductions.</t>
        </r>
      </text>
    </comment>
    <comment ref="O19" authorId="0" shapeId="0" xr:uid="{00000000-0006-0000-0200-000054000000}">
      <text>
        <r>
          <rPr>
            <sz val="8"/>
            <color indexed="81"/>
            <rFont val="Tahoma"/>
            <family val="2"/>
          </rPr>
          <t>When Yes, Cut Out measurements must be supplied in the next cells.</t>
        </r>
      </text>
    </comment>
    <comment ref="R19" authorId="0" shapeId="0" xr:uid="{00000000-0006-0000-0200-000055000000}">
      <text>
        <r>
          <rPr>
            <sz val="8"/>
            <color indexed="81"/>
            <rFont val="Tahoma"/>
            <family val="2"/>
          </rPr>
          <t>Blind Width          Maximum Cut Out Width
270 - 299mm       80mm
300 - 400mm       90mm
401 - 527mm        110mm
528 - 850mm       140mm
  &gt; 851mm              165mm</t>
        </r>
      </text>
    </comment>
    <comment ref="T19" authorId="0" shapeId="0" xr:uid="{00000000-0006-0000-0200-000056000000}">
      <text>
        <r>
          <rPr>
            <sz val="8"/>
            <color indexed="81"/>
            <rFont val="Tahoma"/>
            <family val="2"/>
          </rPr>
          <t>Blind Width          Maximum Cut Out Width
270 - 299mm       80mm
300 - 400mm       90mm
401 - 527mm        110mm
528 - 850mm       140mm
  &gt; 851mm              165mm</t>
        </r>
      </text>
    </comment>
    <comment ref="F20" authorId="0" shapeId="0" xr:uid="{00000000-0006-0000-0200-000057000000}">
      <text>
        <r>
          <rPr>
            <sz val="8"/>
            <color indexed="81"/>
            <rFont val="Tahoma"/>
            <family val="2"/>
          </rPr>
          <t>Minimum Width is 270mm.
Maximum Width is 2700mm.
All openings over 2700mm wide will require 
multiple Blinds.</t>
        </r>
      </text>
    </comment>
    <comment ref="G20" authorId="0" shapeId="0" xr:uid="{00000000-0006-0000-0200-000058000000}">
      <text>
        <r>
          <rPr>
            <sz val="8"/>
            <color indexed="81"/>
            <rFont val="Tahoma"/>
            <family val="2"/>
          </rPr>
          <t>Maximum Height/Drop is 3600mm.</t>
        </r>
      </text>
    </comment>
    <comment ref="H20" authorId="0" shapeId="0" xr:uid="{00000000-0006-0000-0200-000059000000}">
      <text>
        <r>
          <rPr>
            <sz val="8"/>
            <color indexed="81"/>
            <rFont val="Tahoma"/>
            <family val="2"/>
          </rPr>
          <t>When selecting a
Corner or Bay Window Type, 
the CMB Corner WS or CMB Bay WS 
must be completed.</t>
        </r>
      </text>
    </comment>
    <comment ref="J20" authorId="0" shapeId="0" xr:uid="{00000000-0006-0000-0200-00005A000000}">
      <text>
        <r>
          <rPr>
            <sz val="8"/>
            <color indexed="81"/>
            <rFont val="Tahoma"/>
            <family val="2"/>
          </rPr>
          <t>ACT 
Actual Measurements
You have made the allowances.
NAM
No Allowances Made 
The factory will make the deductions.</t>
        </r>
      </text>
    </comment>
    <comment ref="O20" authorId="0" shapeId="0" xr:uid="{00000000-0006-0000-0200-00005B000000}">
      <text>
        <r>
          <rPr>
            <sz val="8"/>
            <color indexed="81"/>
            <rFont val="Tahoma"/>
            <family val="2"/>
          </rPr>
          <t>When Yes, Cut Out measurements must be supplied in the next cells.</t>
        </r>
      </text>
    </comment>
    <comment ref="R20" authorId="0" shapeId="0" xr:uid="{00000000-0006-0000-0200-00005C000000}">
      <text>
        <r>
          <rPr>
            <sz val="8"/>
            <color indexed="81"/>
            <rFont val="Tahoma"/>
            <family val="2"/>
          </rPr>
          <t>Blind Width          Maximum Cut Out Width
270 - 299mm       80mm
300 - 400mm       90mm
401 - 527mm        110mm
528 - 850mm       140mm
  &gt; 851mm              165mm</t>
        </r>
      </text>
    </comment>
    <comment ref="T20" authorId="0" shapeId="0" xr:uid="{00000000-0006-0000-0200-00005D000000}">
      <text>
        <r>
          <rPr>
            <sz val="8"/>
            <color indexed="81"/>
            <rFont val="Tahoma"/>
            <family val="2"/>
          </rPr>
          <t>Blind Width          Maximum Cut Out Width
270 - 299mm       80mm
300 - 400mm       90mm
401 - 527mm        110mm
528 - 850mm       140mm
  &gt; 851mm              165mm</t>
        </r>
      </text>
    </comment>
    <comment ref="F21" authorId="0" shapeId="0" xr:uid="{00000000-0006-0000-0200-00005E000000}">
      <text>
        <r>
          <rPr>
            <sz val="8"/>
            <color indexed="81"/>
            <rFont val="Tahoma"/>
            <family val="2"/>
          </rPr>
          <t>Minimum Width is 270mm.
Maximum Width is 2700mm.
All openings over 2700mm wide will require 
multiple Blinds.</t>
        </r>
      </text>
    </comment>
    <comment ref="G21" authorId="0" shapeId="0" xr:uid="{00000000-0006-0000-0200-00005F000000}">
      <text>
        <r>
          <rPr>
            <sz val="8"/>
            <color indexed="81"/>
            <rFont val="Tahoma"/>
            <family val="2"/>
          </rPr>
          <t>Maximum Height/Drop is 3600mm.</t>
        </r>
      </text>
    </comment>
    <comment ref="H21" authorId="0" shapeId="0" xr:uid="{00000000-0006-0000-0200-000060000000}">
      <text>
        <r>
          <rPr>
            <sz val="8"/>
            <color indexed="81"/>
            <rFont val="Tahoma"/>
            <family val="2"/>
          </rPr>
          <t>When selecting a
Corner or Bay Window Type, 
the CMB Corner WS or CMB Bay WS 
must be completed.</t>
        </r>
      </text>
    </comment>
    <comment ref="J21" authorId="0" shapeId="0" xr:uid="{00000000-0006-0000-0200-000061000000}">
      <text>
        <r>
          <rPr>
            <sz val="8"/>
            <color indexed="81"/>
            <rFont val="Tahoma"/>
            <family val="2"/>
          </rPr>
          <t>ACT 
Actual Measurements
You have made the allowances.
NAM
No Allowances Made 
The factory will make the deductions.</t>
        </r>
      </text>
    </comment>
    <comment ref="O21" authorId="0" shapeId="0" xr:uid="{00000000-0006-0000-0200-000062000000}">
      <text>
        <r>
          <rPr>
            <sz val="8"/>
            <color indexed="81"/>
            <rFont val="Tahoma"/>
            <family val="2"/>
          </rPr>
          <t>When Yes, Cut Out measurements must be supplied in the next cells.</t>
        </r>
      </text>
    </comment>
    <comment ref="R21" authorId="0" shapeId="0" xr:uid="{00000000-0006-0000-0200-000063000000}">
      <text>
        <r>
          <rPr>
            <sz val="8"/>
            <color indexed="81"/>
            <rFont val="Tahoma"/>
            <family val="2"/>
          </rPr>
          <t>Blind Width          Maximum Cut Out Width
270 - 299mm       80mm
300 - 400mm       90mm
401 - 527mm        110mm
528 - 850mm       140mm
  &gt; 851mm              165mm</t>
        </r>
      </text>
    </comment>
    <comment ref="T21" authorId="0" shapeId="0" xr:uid="{00000000-0006-0000-0200-000064000000}">
      <text>
        <r>
          <rPr>
            <sz val="8"/>
            <color indexed="81"/>
            <rFont val="Tahoma"/>
            <family val="2"/>
          </rPr>
          <t>Blind Width          Maximum Cut Out Width
270 - 299mm       80mm
300 - 400mm       90mm
401 - 527mm        110mm
528 - 850mm       140mm
  &gt; 851mm              165mm</t>
        </r>
      </text>
    </comment>
    <comment ref="F22" authorId="0" shapeId="0" xr:uid="{00000000-0006-0000-0200-000065000000}">
      <text>
        <r>
          <rPr>
            <sz val="8"/>
            <color indexed="81"/>
            <rFont val="Tahoma"/>
            <family val="2"/>
          </rPr>
          <t>Minimum Width is 270mm.
Maximum Width is 2700mm.
All openings over 2700mm wide will require 
multiple Blinds.</t>
        </r>
      </text>
    </comment>
    <comment ref="G22" authorId="0" shapeId="0" xr:uid="{00000000-0006-0000-0200-000066000000}">
      <text>
        <r>
          <rPr>
            <sz val="8"/>
            <color indexed="81"/>
            <rFont val="Tahoma"/>
            <family val="2"/>
          </rPr>
          <t>Maximum Height/Drop is 3600mm.</t>
        </r>
      </text>
    </comment>
    <comment ref="H22" authorId="0" shapeId="0" xr:uid="{00000000-0006-0000-0200-000067000000}">
      <text>
        <r>
          <rPr>
            <sz val="8"/>
            <color indexed="81"/>
            <rFont val="Tahoma"/>
            <family val="2"/>
          </rPr>
          <t>When selecting a
Corner or Bay Window Type, 
the CMB Corner WS or CMB Bay WS 
must be completed.</t>
        </r>
      </text>
    </comment>
    <comment ref="J22" authorId="0" shapeId="0" xr:uid="{00000000-0006-0000-0200-000068000000}">
      <text>
        <r>
          <rPr>
            <sz val="8"/>
            <color indexed="81"/>
            <rFont val="Tahoma"/>
            <family val="2"/>
          </rPr>
          <t>ACT 
Actual Measurements
You have made the allowances.
NAM
No Allowances Made 
The factory will make the deductions.</t>
        </r>
      </text>
    </comment>
    <comment ref="O22" authorId="0" shapeId="0" xr:uid="{00000000-0006-0000-0200-000069000000}">
      <text>
        <r>
          <rPr>
            <sz val="8"/>
            <color indexed="81"/>
            <rFont val="Tahoma"/>
            <family val="2"/>
          </rPr>
          <t>When Yes, Cut Out measurements must be supplied in the next cells.</t>
        </r>
      </text>
    </comment>
    <comment ref="R22" authorId="0" shapeId="0" xr:uid="{00000000-0006-0000-0200-00006A000000}">
      <text>
        <r>
          <rPr>
            <sz val="8"/>
            <color indexed="81"/>
            <rFont val="Tahoma"/>
            <family val="2"/>
          </rPr>
          <t>Blind Width          Maximum Cut Out Width
270 - 299mm       80mm
300 - 400mm       90mm
401 - 527mm        110mm
528 - 850mm       140mm
  &gt; 851mm              165mm</t>
        </r>
      </text>
    </comment>
    <comment ref="T22" authorId="0" shapeId="0" xr:uid="{00000000-0006-0000-0200-00006B000000}">
      <text>
        <r>
          <rPr>
            <sz val="8"/>
            <color indexed="81"/>
            <rFont val="Tahoma"/>
            <family val="2"/>
          </rPr>
          <t>Blind Width          Maximum Cut Out Width
270 - 299mm       80mm
300 - 400mm       90mm
401 - 527mm        110mm
528 - 850mm       140mm
  &gt; 851mm              165mm</t>
        </r>
      </text>
    </comment>
    <comment ref="F23" authorId="0" shapeId="0" xr:uid="{00000000-0006-0000-0200-00006C000000}">
      <text>
        <r>
          <rPr>
            <sz val="8"/>
            <color indexed="81"/>
            <rFont val="Tahoma"/>
            <family val="2"/>
          </rPr>
          <t>Minimum Width is 270mm.
Maximum Width is 2700mm.
All openings over 2700mm wide will require 
multiple Blinds.</t>
        </r>
      </text>
    </comment>
    <comment ref="G23" authorId="0" shapeId="0" xr:uid="{00000000-0006-0000-0200-00006D000000}">
      <text>
        <r>
          <rPr>
            <sz val="8"/>
            <color indexed="81"/>
            <rFont val="Tahoma"/>
            <family val="2"/>
          </rPr>
          <t>Maximum Height/Drop is 3600mm.</t>
        </r>
      </text>
    </comment>
    <comment ref="H23" authorId="0" shapeId="0" xr:uid="{00000000-0006-0000-0200-00006E000000}">
      <text>
        <r>
          <rPr>
            <sz val="8"/>
            <color indexed="81"/>
            <rFont val="Tahoma"/>
            <family val="2"/>
          </rPr>
          <t>When selecting a
Corner or Bay Window Type, 
the CMB Corner WS or CMB Bay WS 
must be completed.</t>
        </r>
      </text>
    </comment>
    <comment ref="J23" authorId="0" shapeId="0" xr:uid="{00000000-0006-0000-0200-00006F000000}">
      <text>
        <r>
          <rPr>
            <sz val="8"/>
            <color indexed="81"/>
            <rFont val="Tahoma"/>
            <family val="2"/>
          </rPr>
          <t>ACT 
Actual Measurements
You have made the allowances.
NAM
No Allowances Made 
The factory will make the deductions.</t>
        </r>
      </text>
    </comment>
    <comment ref="O23" authorId="0" shapeId="0" xr:uid="{00000000-0006-0000-0200-000070000000}">
      <text>
        <r>
          <rPr>
            <sz val="8"/>
            <color indexed="81"/>
            <rFont val="Tahoma"/>
            <family val="2"/>
          </rPr>
          <t>When Yes, Cut Out measurements must be supplied in the next cells.</t>
        </r>
      </text>
    </comment>
    <comment ref="R23" authorId="0" shapeId="0" xr:uid="{00000000-0006-0000-0200-000071000000}">
      <text>
        <r>
          <rPr>
            <sz val="8"/>
            <color indexed="81"/>
            <rFont val="Tahoma"/>
            <family val="2"/>
          </rPr>
          <t>Blind Width          Maximum Cut Out Width
270 - 299mm       80mm
300 - 400mm       90mm
401 - 527mm        110mm
528 - 850mm       140mm
  &gt; 851mm              165mm</t>
        </r>
      </text>
    </comment>
    <comment ref="T23" authorId="0" shapeId="0" xr:uid="{00000000-0006-0000-0200-000072000000}">
      <text>
        <r>
          <rPr>
            <sz val="8"/>
            <color indexed="81"/>
            <rFont val="Tahoma"/>
            <family val="2"/>
          </rPr>
          <t>Blind Width          Maximum Cut Out Width
270 - 299mm       80mm
300 - 400mm       90mm
401 - 527mm        110mm
528 - 850mm       140mm
  &gt; 851mm              165mm</t>
        </r>
      </text>
    </comment>
    <comment ref="F24" authorId="0" shapeId="0" xr:uid="{00000000-0006-0000-0200-000073000000}">
      <text>
        <r>
          <rPr>
            <sz val="8"/>
            <color indexed="81"/>
            <rFont val="Tahoma"/>
            <family val="2"/>
          </rPr>
          <t>Minimum Width is 270mm.
Maximum Width is 2700mm.
All openings over 2700mm wide will require 
multiple Blinds.</t>
        </r>
      </text>
    </comment>
    <comment ref="G24" authorId="0" shapeId="0" xr:uid="{00000000-0006-0000-0200-000074000000}">
      <text>
        <r>
          <rPr>
            <sz val="8"/>
            <color indexed="81"/>
            <rFont val="Tahoma"/>
            <family val="2"/>
          </rPr>
          <t>Maximum Height/Drop is 3600mm.</t>
        </r>
      </text>
    </comment>
    <comment ref="H24" authorId="0" shapeId="0" xr:uid="{00000000-0006-0000-0200-000075000000}">
      <text>
        <r>
          <rPr>
            <sz val="8"/>
            <color indexed="81"/>
            <rFont val="Tahoma"/>
            <family val="2"/>
          </rPr>
          <t>When selecting a
Corner or Bay Window Type, 
the CMB Corner WS or CMB Bay WS 
must be completed.</t>
        </r>
      </text>
    </comment>
    <comment ref="J24" authorId="0" shapeId="0" xr:uid="{00000000-0006-0000-0200-000076000000}">
      <text>
        <r>
          <rPr>
            <sz val="8"/>
            <color indexed="81"/>
            <rFont val="Tahoma"/>
            <family val="2"/>
          </rPr>
          <t>ACT 
Actual Measurements
You have made the allowances.
NAM
No Allowances Made 
The factory will make the deductions.</t>
        </r>
      </text>
    </comment>
    <comment ref="O24" authorId="0" shapeId="0" xr:uid="{00000000-0006-0000-0200-000077000000}">
      <text>
        <r>
          <rPr>
            <sz val="8"/>
            <color indexed="81"/>
            <rFont val="Tahoma"/>
            <family val="2"/>
          </rPr>
          <t>When Yes, Cut Out measurements must be supplied in the next cells.</t>
        </r>
      </text>
    </comment>
    <comment ref="R24" authorId="0" shapeId="0" xr:uid="{00000000-0006-0000-0200-000078000000}">
      <text>
        <r>
          <rPr>
            <sz val="8"/>
            <color indexed="81"/>
            <rFont val="Tahoma"/>
            <family val="2"/>
          </rPr>
          <t>Blind Width          Maximum Cut Out Width
270 - 299mm       80mm
300 - 400mm       90mm
401 - 527mm        110mm
528 - 850mm       140mm
  &gt; 851mm              165mm</t>
        </r>
      </text>
    </comment>
    <comment ref="T24" authorId="0" shapeId="0" xr:uid="{00000000-0006-0000-0200-000079000000}">
      <text>
        <r>
          <rPr>
            <sz val="8"/>
            <color indexed="81"/>
            <rFont val="Tahoma"/>
            <family val="2"/>
          </rPr>
          <t>Blind Width          Maximum Cut Out Width
270 - 299mm       80mm
300 - 400mm       90mm
401 - 527mm        110mm
528 - 850mm       140mm
  &gt; 851mm              165mm</t>
        </r>
      </text>
    </comment>
    <comment ref="F25" authorId="0" shapeId="0" xr:uid="{00000000-0006-0000-0200-00007A000000}">
      <text>
        <r>
          <rPr>
            <sz val="8"/>
            <color indexed="81"/>
            <rFont val="Tahoma"/>
            <family val="2"/>
          </rPr>
          <t>Minimum Width is 270mm.
Maximum Width is 2700mm.
All openings over 2700mm wide will require 
multiple Blinds.</t>
        </r>
      </text>
    </comment>
    <comment ref="G25" authorId="0" shapeId="0" xr:uid="{00000000-0006-0000-0200-00007B000000}">
      <text>
        <r>
          <rPr>
            <sz val="8"/>
            <color indexed="81"/>
            <rFont val="Tahoma"/>
            <family val="2"/>
          </rPr>
          <t>Maximum Height/Drop is 3600mm.</t>
        </r>
      </text>
    </comment>
    <comment ref="H25" authorId="0" shapeId="0" xr:uid="{00000000-0006-0000-0200-00007C000000}">
      <text>
        <r>
          <rPr>
            <sz val="8"/>
            <color indexed="81"/>
            <rFont val="Tahoma"/>
            <family val="2"/>
          </rPr>
          <t>When selecting a
Corner or Bay Window Type, 
the CMB Corner WS or CMB Bay WS 
must be completed.</t>
        </r>
      </text>
    </comment>
    <comment ref="J25" authorId="0" shapeId="0" xr:uid="{00000000-0006-0000-0200-00007D000000}">
      <text>
        <r>
          <rPr>
            <sz val="8"/>
            <color indexed="81"/>
            <rFont val="Tahoma"/>
            <family val="2"/>
          </rPr>
          <t>ACT 
Actual Measurements
You have made the allowances.
NAM
No Allowances Made 
The factory will make the deductions.</t>
        </r>
      </text>
    </comment>
    <comment ref="O25" authorId="0" shapeId="0" xr:uid="{00000000-0006-0000-0200-00007E000000}">
      <text>
        <r>
          <rPr>
            <sz val="8"/>
            <color indexed="81"/>
            <rFont val="Tahoma"/>
            <family val="2"/>
          </rPr>
          <t>When Yes, Cut Out measurements must be supplied in the next cells.</t>
        </r>
      </text>
    </comment>
    <comment ref="R25" authorId="0" shapeId="0" xr:uid="{00000000-0006-0000-0200-00007F000000}">
      <text>
        <r>
          <rPr>
            <sz val="8"/>
            <color indexed="81"/>
            <rFont val="Tahoma"/>
            <family val="2"/>
          </rPr>
          <t>Blind Width          Maximum Cut Out Width
270 - 299mm       80mm
300 - 400mm       90mm
401 - 527mm        110mm
528 - 850mm       140mm
  &gt; 851mm              165mm</t>
        </r>
      </text>
    </comment>
    <comment ref="T25" authorId="0" shapeId="0" xr:uid="{00000000-0006-0000-0200-000080000000}">
      <text>
        <r>
          <rPr>
            <sz val="8"/>
            <color indexed="81"/>
            <rFont val="Tahoma"/>
            <family val="2"/>
          </rPr>
          <t>Blind Width          Maximum Cut Out Width
270 - 299mm       80mm
300 - 400mm       90mm
401 - 527mm        110mm
528 - 850mm       140mm
  &gt; 851mm              165mm</t>
        </r>
      </text>
    </comment>
    <comment ref="F26" authorId="0" shapeId="0" xr:uid="{00000000-0006-0000-0200-000081000000}">
      <text>
        <r>
          <rPr>
            <sz val="8"/>
            <color indexed="81"/>
            <rFont val="Tahoma"/>
            <family val="2"/>
          </rPr>
          <t>Minimum Width is 270mm.
Maximum Width is 2700mm.
All openings over 2700mm wide will require 
multiple Blinds.</t>
        </r>
      </text>
    </comment>
    <comment ref="G26" authorId="0" shapeId="0" xr:uid="{00000000-0006-0000-0200-000082000000}">
      <text>
        <r>
          <rPr>
            <sz val="8"/>
            <color indexed="81"/>
            <rFont val="Tahoma"/>
            <family val="2"/>
          </rPr>
          <t>Maximum Height/Drop is 3600mm.</t>
        </r>
      </text>
    </comment>
    <comment ref="H26" authorId="0" shapeId="0" xr:uid="{00000000-0006-0000-0200-000083000000}">
      <text>
        <r>
          <rPr>
            <sz val="8"/>
            <color indexed="81"/>
            <rFont val="Tahoma"/>
            <family val="2"/>
          </rPr>
          <t>When selecting a
Corner or Bay Window Type, 
the CMB Corner WS or CMB Bay WS 
must be completed.</t>
        </r>
      </text>
    </comment>
    <comment ref="J26" authorId="0" shapeId="0" xr:uid="{00000000-0006-0000-0200-000084000000}">
      <text>
        <r>
          <rPr>
            <sz val="8"/>
            <color indexed="81"/>
            <rFont val="Tahoma"/>
            <family val="2"/>
          </rPr>
          <t>ACT 
Actual Measurements
You have made the allowances.
NAM
No Allowances Made 
The factory will make the deductions.</t>
        </r>
      </text>
    </comment>
    <comment ref="O26" authorId="0" shapeId="0" xr:uid="{00000000-0006-0000-0200-000085000000}">
      <text>
        <r>
          <rPr>
            <sz val="8"/>
            <color indexed="81"/>
            <rFont val="Tahoma"/>
            <family val="2"/>
          </rPr>
          <t>When Yes, Cut Out measurements must be supplied in the next cells.</t>
        </r>
      </text>
    </comment>
    <comment ref="R26" authorId="0" shapeId="0" xr:uid="{00000000-0006-0000-0200-000086000000}">
      <text>
        <r>
          <rPr>
            <sz val="8"/>
            <color indexed="81"/>
            <rFont val="Tahoma"/>
            <family val="2"/>
          </rPr>
          <t>Blind Width          Maximum Cut Out Width
270 - 299mm       80mm
300 - 400mm       90mm
401 - 527mm        110mm
528 - 850mm       140mm
  &gt; 851mm              165mm</t>
        </r>
      </text>
    </comment>
    <comment ref="T26" authorId="0" shapeId="0" xr:uid="{00000000-0006-0000-0200-000087000000}">
      <text>
        <r>
          <rPr>
            <sz val="8"/>
            <color indexed="81"/>
            <rFont val="Tahoma"/>
            <family val="2"/>
          </rPr>
          <t>Blind Width          Maximum Cut Out Width
270 - 299mm       80mm
300 - 400mm       90mm
401 - 527mm        110mm
528 - 850mm       140mm
  &gt; 851mm              165mm</t>
        </r>
      </text>
    </comment>
    <comment ref="F27" authorId="0" shapeId="0" xr:uid="{00000000-0006-0000-0200-000088000000}">
      <text>
        <r>
          <rPr>
            <sz val="8"/>
            <color indexed="81"/>
            <rFont val="Tahoma"/>
            <family val="2"/>
          </rPr>
          <t>Minimum Width is 270mm.
Maximum Width is 2700mm.
All openings over 2700mm wide will require 
multiple Blinds.</t>
        </r>
      </text>
    </comment>
    <comment ref="G27" authorId="0" shapeId="0" xr:uid="{00000000-0006-0000-0200-000089000000}">
      <text>
        <r>
          <rPr>
            <sz val="8"/>
            <color indexed="81"/>
            <rFont val="Tahoma"/>
            <family val="2"/>
          </rPr>
          <t>Maximum Height/Drop is 3600mm.</t>
        </r>
      </text>
    </comment>
    <comment ref="H27" authorId="0" shapeId="0" xr:uid="{00000000-0006-0000-0200-00008A000000}">
      <text>
        <r>
          <rPr>
            <sz val="8"/>
            <color indexed="81"/>
            <rFont val="Tahoma"/>
            <family val="2"/>
          </rPr>
          <t>When selecting a
Corner or Bay Window Type, 
the CMB Corner WS or CMB Bay WS 
must be completed.</t>
        </r>
      </text>
    </comment>
    <comment ref="J27" authorId="0" shapeId="0" xr:uid="{00000000-0006-0000-0200-00008B000000}">
      <text>
        <r>
          <rPr>
            <sz val="8"/>
            <color indexed="81"/>
            <rFont val="Tahoma"/>
            <family val="2"/>
          </rPr>
          <t>ACT 
Actual Measurements
You have made the allowances.
NAM
No Allowances Made 
The factory will make the deductions.</t>
        </r>
      </text>
    </comment>
    <comment ref="O27" authorId="0" shapeId="0" xr:uid="{00000000-0006-0000-0200-00008C000000}">
      <text>
        <r>
          <rPr>
            <sz val="8"/>
            <color indexed="81"/>
            <rFont val="Tahoma"/>
            <family val="2"/>
          </rPr>
          <t>When Yes, Cut Out measurements must be supplied in the next cells.</t>
        </r>
      </text>
    </comment>
    <comment ref="R27" authorId="0" shapeId="0" xr:uid="{00000000-0006-0000-0200-00008D000000}">
      <text>
        <r>
          <rPr>
            <sz val="8"/>
            <color indexed="81"/>
            <rFont val="Tahoma"/>
            <family val="2"/>
          </rPr>
          <t>Blind Width          Maximum Cut Out Width
270 - 299mm       80mm
300 - 400mm       90mm
401 - 527mm        110mm
528 - 850mm       140mm
  &gt; 851mm              165mm</t>
        </r>
      </text>
    </comment>
    <comment ref="T27" authorId="0" shapeId="0" xr:uid="{00000000-0006-0000-0200-00008E000000}">
      <text>
        <r>
          <rPr>
            <sz val="8"/>
            <color indexed="81"/>
            <rFont val="Tahoma"/>
            <family val="2"/>
          </rPr>
          <t>Blind Width          Maximum Cut Out Width
270 - 299mm       80mm
300 - 400mm       90mm
401 - 527mm        110mm
528 - 850mm       140mm
  &gt; 851mm              165mm</t>
        </r>
      </text>
    </comment>
    <comment ref="F28" authorId="0" shapeId="0" xr:uid="{00000000-0006-0000-0200-00008F000000}">
      <text>
        <r>
          <rPr>
            <sz val="8"/>
            <color indexed="81"/>
            <rFont val="Tahoma"/>
            <family val="2"/>
          </rPr>
          <t>Minimum Width is 270mm.
Maximum Width is 2700mm.
All openings over 2700mm wide will require 
multiple Blinds.</t>
        </r>
      </text>
    </comment>
    <comment ref="G28" authorId="0" shapeId="0" xr:uid="{00000000-0006-0000-0200-000090000000}">
      <text>
        <r>
          <rPr>
            <sz val="8"/>
            <color indexed="81"/>
            <rFont val="Tahoma"/>
            <family val="2"/>
          </rPr>
          <t>Maximum Height/Drop is 3600mm.</t>
        </r>
      </text>
    </comment>
    <comment ref="H28" authorId="0" shapeId="0" xr:uid="{00000000-0006-0000-0200-000091000000}">
      <text>
        <r>
          <rPr>
            <sz val="8"/>
            <color indexed="81"/>
            <rFont val="Tahoma"/>
            <family val="2"/>
          </rPr>
          <t>When selecting a
Corner or Bay Window Type, 
the CMB Corner WS or CMB Bay WS 
must be completed.</t>
        </r>
      </text>
    </comment>
    <comment ref="J28" authorId="0" shapeId="0" xr:uid="{00000000-0006-0000-0200-000092000000}">
      <text>
        <r>
          <rPr>
            <sz val="8"/>
            <color indexed="81"/>
            <rFont val="Tahoma"/>
            <family val="2"/>
          </rPr>
          <t>ACT 
Actual Measurements
You have made the allowances.
NAM
No Allowances Made 
The factory will make the deductions.</t>
        </r>
      </text>
    </comment>
    <comment ref="O28" authorId="0" shapeId="0" xr:uid="{00000000-0006-0000-0200-000093000000}">
      <text>
        <r>
          <rPr>
            <sz val="8"/>
            <color indexed="81"/>
            <rFont val="Tahoma"/>
            <family val="2"/>
          </rPr>
          <t>When Yes, Cut Out measurements must be supplied in the next cells.</t>
        </r>
      </text>
    </comment>
    <comment ref="R28" authorId="0" shapeId="0" xr:uid="{00000000-0006-0000-0200-000094000000}">
      <text>
        <r>
          <rPr>
            <sz val="8"/>
            <color indexed="81"/>
            <rFont val="Tahoma"/>
            <family val="2"/>
          </rPr>
          <t>Blind Width          Maximum Cut Out Width
270 - 299mm       80mm
300 - 400mm       90mm
401 - 527mm        110mm
528 - 850mm       140mm
  &gt; 851mm              165mm</t>
        </r>
      </text>
    </comment>
    <comment ref="T28" authorId="0" shapeId="0" xr:uid="{00000000-0006-0000-0200-000095000000}">
      <text>
        <r>
          <rPr>
            <sz val="8"/>
            <color indexed="81"/>
            <rFont val="Tahoma"/>
            <family val="2"/>
          </rPr>
          <t>Blind Width          Maximum Cut Out Width
270 - 299mm       80mm
300 - 400mm       90mm
401 - 527mm        110mm
528 - 850mm       140mm
  &gt; 851mm              165mm</t>
        </r>
      </text>
    </comment>
    <comment ref="F29" authorId="0" shapeId="0" xr:uid="{00000000-0006-0000-0200-000096000000}">
      <text>
        <r>
          <rPr>
            <sz val="8"/>
            <color indexed="81"/>
            <rFont val="Tahoma"/>
            <family val="2"/>
          </rPr>
          <t>Minimum Width is 270mm.
Maximum Width is 2700mm.
All openings over 2700mm wide will require 
multiple Blinds.</t>
        </r>
      </text>
    </comment>
    <comment ref="G29" authorId="0" shapeId="0" xr:uid="{00000000-0006-0000-0200-000097000000}">
      <text>
        <r>
          <rPr>
            <sz val="8"/>
            <color indexed="81"/>
            <rFont val="Tahoma"/>
            <family val="2"/>
          </rPr>
          <t>Maximum Height/Drop is 3600mm.</t>
        </r>
      </text>
    </comment>
    <comment ref="H29" authorId="0" shapeId="0" xr:uid="{00000000-0006-0000-0200-000098000000}">
      <text>
        <r>
          <rPr>
            <sz val="8"/>
            <color indexed="81"/>
            <rFont val="Tahoma"/>
            <family val="2"/>
          </rPr>
          <t>When selecting a
Corner or Bay Window Type, 
the CMB Corner WS or CMB Bay WS 
must be completed.</t>
        </r>
      </text>
    </comment>
    <comment ref="J29" authorId="0" shapeId="0" xr:uid="{00000000-0006-0000-0200-000099000000}">
      <text>
        <r>
          <rPr>
            <sz val="8"/>
            <color indexed="81"/>
            <rFont val="Tahoma"/>
            <family val="2"/>
          </rPr>
          <t>ACT 
Actual Measurements
You have made the allowances.
NAM
No Allowances Made 
The factory will make the deductions.</t>
        </r>
      </text>
    </comment>
    <comment ref="O29" authorId="0" shapeId="0" xr:uid="{00000000-0006-0000-0200-00009A000000}">
      <text>
        <r>
          <rPr>
            <sz val="8"/>
            <color indexed="81"/>
            <rFont val="Tahoma"/>
            <family val="2"/>
          </rPr>
          <t>When Yes, Cut Out measurements must be supplied in the next cells.</t>
        </r>
      </text>
    </comment>
    <comment ref="R29" authorId="0" shapeId="0" xr:uid="{00000000-0006-0000-0200-00009B000000}">
      <text>
        <r>
          <rPr>
            <sz val="8"/>
            <color indexed="81"/>
            <rFont val="Tahoma"/>
            <family val="2"/>
          </rPr>
          <t>Blind Width          Maximum Cut Out Width
270 - 299mm       80mm
300 - 400mm       90mm
401 - 527mm        110mm
528 - 850mm       140mm
  &gt; 851mm              165mm</t>
        </r>
      </text>
    </comment>
    <comment ref="T29" authorId="0" shapeId="0" xr:uid="{00000000-0006-0000-0200-00009C000000}">
      <text>
        <r>
          <rPr>
            <sz val="8"/>
            <color indexed="81"/>
            <rFont val="Tahoma"/>
            <family val="2"/>
          </rPr>
          <t>Blind Width          Maximum Cut Out Width
270 - 299mm       80mm
300 - 400mm       90mm
401 - 527mm        110mm
528 - 850mm       140mm
  &gt; 851mm              165mm</t>
        </r>
      </text>
    </comment>
    <comment ref="F30" authorId="0" shapeId="0" xr:uid="{00000000-0006-0000-0200-00009D000000}">
      <text>
        <r>
          <rPr>
            <sz val="8"/>
            <color indexed="81"/>
            <rFont val="Tahoma"/>
            <family val="2"/>
          </rPr>
          <t>Minimum Width is 270mm.
Maximum Width is 2700mm.
All openings over 2700mm wide will require 
multiple Blinds.</t>
        </r>
      </text>
    </comment>
    <comment ref="G30" authorId="0" shapeId="0" xr:uid="{00000000-0006-0000-0200-00009E000000}">
      <text>
        <r>
          <rPr>
            <sz val="8"/>
            <color indexed="81"/>
            <rFont val="Tahoma"/>
            <family val="2"/>
          </rPr>
          <t>Maximum Height/Drop is 3600mm.</t>
        </r>
      </text>
    </comment>
    <comment ref="H30" authorId="0" shapeId="0" xr:uid="{00000000-0006-0000-0200-00009F000000}">
      <text>
        <r>
          <rPr>
            <sz val="8"/>
            <color indexed="81"/>
            <rFont val="Tahoma"/>
            <family val="2"/>
          </rPr>
          <t>When selecting a
Corner or Bay Window Type, 
the CMB Corner WS or CMB Bay WS 
must be completed.</t>
        </r>
      </text>
    </comment>
    <comment ref="J30" authorId="0" shapeId="0" xr:uid="{00000000-0006-0000-0200-0000A0000000}">
      <text>
        <r>
          <rPr>
            <sz val="8"/>
            <color indexed="81"/>
            <rFont val="Tahoma"/>
            <family val="2"/>
          </rPr>
          <t>ACT 
Actual Measurements
You have made the allowances.
NAM
No Allowances Made 
The factory will make the deductions.</t>
        </r>
      </text>
    </comment>
    <comment ref="O30" authorId="0" shapeId="0" xr:uid="{00000000-0006-0000-0200-0000A1000000}">
      <text>
        <r>
          <rPr>
            <sz val="8"/>
            <color indexed="81"/>
            <rFont val="Tahoma"/>
            <family val="2"/>
          </rPr>
          <t>When Yes, Cut Out measurements must be supplied in the next cells.</t>
        </r>
      </text>
    </comment>
    <comment ref="R30" authorId="0" shapeId="0" xr:uid="{00000000-0006-0000-0200-0000A2000000}">
      <text>
        <r>
          <rPr>
            <sz val="8"/>
            <color indexed="81"/>
            <rFont val="Tahoma"/>
            <family val="2"/>
          </rPr>
          <t>Blind Width          Maximum Cut Out Width
270 - 299mm       80mm
300 - 400mm       90mm
401 - 527mm        110mm
528 - 850mm       140mm
  &gt; 851mm              165mm</t>
        </r>
      </text>
    </comment>
    <comment ref="T30" authorId="0" shapeId="0" xr:uid="{00000000-0006-0000-0200-0000A3000000}">
      <text>
        <r>
          <rPr>
            <sz val="8"/>
            <color indexed="81"/>
            <rFont val="Tahoma"/>
            <family val="2"/>
          </rPr>
          <t>Blind Width          Maximum Cut Out Width
270 - 299mm       80mm
300 - 400mm       90mm
401 - 527mm        110mm
528 - 850mm       140mm
  &gt; 851mm              165mm</t>
        </r>
      </text>
    </comment>
    <comment ref="F31" authorId="0" shapeId="0" xr:uid="{00000000-0006-0000-0200-0000A4000000}">
      <text>
        <r>
          <rPr>
            <sz val="8"/>
            <color indexed="81"/>
            <rFont val="Tahoma"/>
            <family val="2"/>
          </rPr>
          <t>Minimum Width is 270mm.
Maximum Width is 2700mm.
All openings over 2700mm wide will require 
multiple Blinds.</t>
        </r>
      </text>
    </comment>
    <comment ref="G31" authorId="0" shapeId="0" xr:uid="{00000000-0006-0000-0200-0000A5000000}">
      <text>
        <r>
          <rPr>
            <sz val="8"/>
            <color indexed="81"/>
            <rFont val="Tahoma"/>
            <family val="2"/>
          </rPr>
          <t>Maximum Height/Drop is 3600mm.</t>
        </r>
      </text>
    </comment>
    <comment ref="H31" authorId="0" shapeId="0" xr:uid="{00000000-0006-0000-0200-0000A6000000}">
      <text>
        <r>
          <rPr>
            <sz val="8"/>
            <color indexed="81"/>
            <rFont val="Tahoma"/>
            <family val="2"/>
          </rPr>
          <t>When selecting a
Corner or Bay Window Type, 
the CMB Corner WS or CMB Bay WS 
must be completed.</t>
        </r>
      </text>
    </comment>
    <comment ref="J31" authorId="0" shapeId="0" xr:uid="{00000000-0006-0000-0200-0000A7000000}">
      <text>
        <r>
          <rPr>
            <sz val="8"/>
            <color indexed="81"/>
            <rFont val="Tahoma"/>
            <family val="2"/>
          </rPr>
          <t>ACT 
Actual Measurements
You have made the allowances.
NAM
No Allowances Made 
The factory will make the deductions.</t>
        </r>
      </text>
    </comment>
    <comment ref="O31" authorId="0" shapeId="0" xr:uid="{00000000-0006-0000-0200-0000A8000000}">
      <text>
        <r>
          <rPr>
            <sz val="8"/>
            <color indexed="81"/>
            <rFont val="Tahoma"/>
            <family val="2"/>
          </rPr>
          <t>When Yes, Cut Out measurements must be supplied in the next cells.</t>
        </r>
      </text>
    </comment>
    <comment ref="R31" authorId="0" shapeId="0" xr:uid="{00000000-0006-0000-0200-0000A9000000}">
      <text>
        <r>
          <rPr>
            <sz val="8"/>
            <color indexed="81"/>
            <rFont val="Tahoma"/>
            <family val="2"/>
          </rPr>
          <t>Blind Width          Maximum Cut Out Width
270 - 299mm       80mm
300 - 400mm       90mm
401 - 527mm        110mm
528 - 850mm       140mm
  &gt; 851mm              165mm</t>
        </r>
      </text>
    </comment>
    <comment ref="T31" authorId="0" shapeId="0" xr:uid="{00000000-0006-0000-0200-0000AA000000}">
      <text>
        <r>
          <rPr>
            <sz val="8"/>
            <color indexed="81"/>
            <rFont val="Tahoma"/>
            <family val="2"/>
          </rPr>
          <t>Blind Width          Maximum Cut Out Width
270 - 299mm       80mm
300 - 400mm       90mm
401 - 527mm        110mm
528 - 850mm       140mm
  &gt; 851mm              165mm</t>
        </r>
      </text>
    </comment>
    <comment ref="F32" authorId="0" shapeId="0" xr:uid="{00000000-0006-0000-0200-0000AB000000}">
      <text>
        <r>
          <rPr>
            <sz val="8"/>
            <color indexed="81"/>
            <rFont val="Tahoma"/>
            <family val="2"/>
          </rPr>
          <t>Minimum Width is 270mm.
Maximum Width is 2700mm.
All openings over 2700mm wide will require 
multiple Blinds.</t>
        </r>
      </text>
    </comment>
    <comment ref="G32" authorId="0" shapeId="0" xr:uid="{00000000-0006-0000-0200-0000AC000000}">
      <text>
        <r>
          <rPr>
            <sz val="8"/>
            <color indexed="81"/>
            <rFont val="Tahoma"/>
            <family val="2"/>
          </rPr>
          <t>Maximum Height/Drop is 3600mm.</t>
        </r>
      </text>
    </comment>
    <comment ref="H32" authorId="0" shapeId="0" xr:uid="{00000000-0006-0000-0200-0000AD000000}">
      <text>
        <r>
          <rPr>
            <sz val="8"/>
            <color indexed="81"/>
            <rFont val="Tahoma"/>
            <family val="2"/>
          </rPr>
          <t>When selecting a
Corner or Bay Window Type, 
the CMB Corner WS or CMB Bay WS 
must be completed.</t>
        </r>
      </text>
    </comment>
    <comment ref="J32" authorId="0" shapeId="0" xr:uid="{00000000-0006-0000-0200-0000AE000000}">
      <text>
        <r>
          <rPr>
            <sz val="8"/>
            <color indexed="81"/>
            <rFont val="Tahoma"/>
            <family val="2"/>
          </rPr>
          <t>ACT 
Actual Measurements
You have made the allowances.
NAM
No Allowances Made 
The factory will make the deductions.</t>
        </r>
      </text>
    </comment>
    <comment ref="O32" authorId="0" shapeId="0" xr:uid="{00000000-0006-0000-0200-0000AF000000}">
      <text>
        <r>
          <rPr>
            <sz val="8"/>
            <color indexed="81"/>
            <rFont val="Tahoma"/>
            <family val="2"/>
          </rPr>
          <t>When Yes, Cut Out measurements must be supplied in the next cells.</t>
        </r>
      </text>
    </comment>
    <comment ref="R32" authorId="0" shapeId="0" xr:uid="{00000000-0006-0000-0200-0000B0000000}">
      <text>
        <r>
          <rPr>
            <sz val="8"/>
            <color indexed="81"/>
            <rFont val="Tahoma"/>
            <family val="2"/>
          </rPr>
          <t>Blind Width          Maximum Cut Out Width
270 - 299mm       80mm
300 - 400mm       90mm
401 - 527mm        110mm
528 - 850mm       140mm
  &gt; 851mm              165mm</t>
        </r>
      </text>
    </comment>
    <comment ref="T32" authorId="0" shapeId="0" xr:uid="{00000000-0006-0000-0200-0000B1000000}">
      <text>
        <r>
          <rPr>
            <sz val="8"/>
            <color indexed="81"/>
            <rFont val="Tahoma"/>
            <family val="2"/>
          </rPr>
          <t>Blind Width          Maximum Cut Out Width
270 - 299mm       80mm
300 - 400mm       90mm
401 - 527mm        110mm
528 - 850mm       140mm
  &gt; 851mm              165mm</t>
        </r>
      </text>
    </comment>
    <comment ref="F33" authorId="0" shapeId="0" xr:uid="{00000000-0006-0000-0200-0000B2000000}">
      <text>
        <r>
          <rPr>
            <sz val="8"/>
            <color indexed="81"/>
            <rFont val="Tahoma"/>
            <family val="2"/>
          </rPr>
          <t>Minimum Width is 270mm.
Maximum Width is 2700mm.
All openings over 2700mm wide will require 
multiple Blinds.</t>
        </r>
      </text>
    </comment>
    <comment ref="G33" authorId="0" shapeId="0" xr:uid="{00000000-0006-0000-0200-0000B3000000}">
      <text>
        <r>
          <rPr>
            <sz val="8"/>
            <color indexed="81"/>
            <rFont val="Tahoma"/>
            <family val="2"/>
          </rPr>
          <t>Maximum Height/Drop is 3600mm.</t>
        </r>
      </text>
    </comment>
    <comment ref="H33" authorId="0" shapeId="0" xr:uid="{00000000-0006-0000-0200-0000B4000000}">
      <text>
        <r>
          <rPr>
            <sz val="8"/>
            <color indexed="81"/>
            <rFont val="Tahoma"/>
            <family val="2"/>
          </rPr>
          <t>When selecting a
Corner or Bay Window Type, 
the CMB Corner WS or CMB Bay WS 
must be completed.</t>
        </r>
      </text>
    </comment>
    <comment ref="J33" authorId="0" shapeId="0" xr:uid="{00000000-0006-0000-0200-0000B5000000}">
      <text>
        <r>
          <rPr>
            <sz val="8"/>
            <color indexed="81"/>
            <rFont val="Tahoma"/>
            <family val="2"/>
          </rPr>
          <t>ACT 
Actual Measurements
You have made the allowances.
NAM
No Allowances Made 
The factory will make the deductions.</t>
        </r>
      </text>
    </comment>
    <comment ref="O33" authorId="0" shapeId="0" xr:uid="{00000000-0006-0000-0200-0000B6000000}">
      <text>
        <r>
          <rPr>
            <sz val="8"/>
            <color indexed="81"/>
            <rFont val="Tahoma"/>
            <family val="2"/>
          </rPr>
          <t>When Yes, Cut Out measurements must be supplied in the next cells.</t>
        </r>
      </text>
    </comment>
    <comment ref="R33" authorId="0" shapeId="0" xr:uid="{00000000-0006-0000-0200-0000B7000000}">
      <text>
        <r>
          <rPr>
            <sz val="8"/>
            <color indexed="81"/>
            <rFont val="Tahoma"/>
            <family val="2"/>
          </rPr>
          <t>Blind Width          Maximum Cut Out Width
270 - 299mm       80mm
300 - 400mm       90mm
401 - 527mm        110mm
528 - 850mm       140mm
  &gt; 851mm              165mm</t>
        </r>
      </text>
    </comment>
    <comment ref="T33" authorId="0" shapeId="0" xr:uid="{00000000-0006-0000-0200-0000B8000000}">
      <text>
        <r>
          <rPr>
            <sz val="8"/>
            <color indexed="81"/>
            <rFont val="Tahoma"/>
            <family val="2"/>
          </rPr>
          <t>Blind Width          Maximum Cut Out Width
270 - 299mm       80mm
300 - 400mm       90mm
401 - 527mm        110mm
528 - 850mm       140mm
  &gt; 851mm              165mm</t>
        </r>
      </text>
    </comment>
    <comment ref="F34" authorId="0" shapeId="0" xr:uid="{00000000-0006-0000-0200-0000B9000000}">
      <text>
        <r>
          <rPr>
            <sz val="8"/>
            <color indexed="81"/>
            <rFont val="Tahoma"/>
            <family val="2"/>
          </rPr>
          <t>Minimum Width is 270mm.
Maximum Width is 2700mm.
All openings over 2700mm wide will require 
multiple Blinds.</t>
        </r>
      </text>
    </comment>
    <comment ref="G34" authorId="0" shapeId="0" xr:uid="{00000000-0006-0000-0200-0000BA000000}">
      <text>
        <r>
          <rPr>
            <sz val="8"/>
            <color indexed="81"/>
            <rFont val="Tahoma"/>
            <family val="2"/>
          </rPr>
          <t>Maximum Height/Drop is 3600mm.</t>
        </r>
      </text>
    </comment>
    <comment ref="H34" authorId="0" shapeId="0" xr:uid="{00000000-0006-0000-0200-0000BB000000}">
      <text>
        <r>
          <rPr>
            <sz val="8"/>
            <color indexed="81"/>
            <rFont val="Tahoma"/>
            <family val="2"/>
          </rPr>
          <t>When selecting a
Corner or Bay Window Type, 
the CMB Corner WS or CMB Bay WS 
must be completed.</t>
        </r>
      </text>
    </comment>
    <comment ref="J34" authorId="0" shapeId="0" xr:uid="{00000000-0006-0000-0200-0000BC000000}">
      <text>
        <r>
          <rPr>
            <sz val="8"/>
            <color indexed="81"/>
            <rFont val="Tahoma"/>
            <family val="2"/>
          </rPr>
          <t>ACT 
Actual Measurements
You have made the allowances.
NAM
No Allowances Made 
The factory will make the deductions.</t>
        </r>
      </text>
    </comment>
    <comment ref="O34" authorId="0" shapeId="0" xr:uid="{00000000-0006-0000-0200-0000BD000000}">
      <text>
        <r>
          <rPr>
            <sz val="8"/>
            <color indexed="81"/>
            <rFont val="Tahoma"/>
            <family val="2"/>
          </rPr>
          <t>When Yes, Cut Out measurements must be supplied in the next cells.</t>
        </r>
      </text>
    </comment>
    <comment ref="R34" authorId="0" shapeId="0" xr:uid="{00000000-0006-0000-0200-0000BE000000}">
      <text>
        <r>
          <rPr>
            <sz val="8"/>
            <color indexed="81"/>
            <rFont val="Tahoma"/>
            <family val="2"/>
          </rPr>
          <t>Blind Width          Maximum Cut Out Width
270 - 299mm       80mm
300 - 400mm       90mm
401 - 527mm        110mm
528 - 850mm       140mm
  &gt; 851mm              165mm</t>
        </r>
      </text>
    </comment>
    <comment ref="T34" authorId="0" shapeId="0" xr:uid="{00000000-0006-0000-0200-0000BF000000}">
      <text>
        <r>
          <rPr>
            <sz val="8"/>
            <color indexed="81"/>
            <rFont val="Tahoma"/>
            <family val="2"/>
          </rPr>
          <t>Blind Width          Maximum Cut Out Width
270 - 299mm       80mm
300 - 400mm       90mm
401 - 527mm        110mm
528 - 850mm       140mm
  &gt; 851mm              165mm</t>
        </r>
      </text>
    </comment>
    <comment ref="F35" authorId="0" shapeId="0" xr:uid="{00000000-0006-0000-0200-0000C0000000}">
      <text>
        <r>
          <rPr>
            <sz val="8"/>
            <color indexed="81"/>
            <rFont val="Tahoma"/>
            <family val="2"/>
          </rPr>
          <t>Minimum Width is 270mm.
Maximum Width is 2700mm.
All openings over 2700mm wide will require 
multiple Blinds.</t>
        </r>
      </text>
    </comment>
    <comment ref="G35" authorId="0" shapeId="0" xr:uid="{00000000-0006-0000-0200-0000C1000000}">
      <text>
        <r>
          <rPr>
            <sz val="8"/>
            <color indexed="81"/>
            <rFont val="Tahoma"/>
            <family val="2"/>
          </rPr>
          <t>Maximum Height/Drop is 3600mm.</t>
        </r>
      </text>
    </comment>
    <comment ref="H35" authorId="0" shapeId="0" xr:uid="{00000000-0006-0000-0200-0000C2000000}">
      <text>
        <r>
          <rPr>
            <sz val="8"/>
            <color indexed="81"/>
            <rFont val="Tahoma"/>
            <family val="2"/>
          </rPr>
          <t>When selecting a
Corner or Bay Window Type, 
the CMB Corner WS or CMB Bay WS 
must be completed.</t>
        </r>
      </text>
    </comment>
    <comment ref="J35" authorId="0" shapeId="0" xr:uid="{00000000-0006-0000-0200-0000C3000000}">
      <text>
        <r>
          <rPr>
            <sz val="8"/>
            <color indexed="81"/>
            <rFont val="Tahoma"/>
            <family val="2"/>
          </rPr>
          <t>ACT 
Actual Measurements
You have made the allowances.
NAM
No Allowances Made 
The factory will make the deductions.</t>
        </r>
      </text>
    </comment>
    <comment ref="O35" authorId="0" shapeId="0" xr:uid="{00000000-0006-0000-0200-0000C4000000}">
      <text>
        <r>
          <rPr>
            <sz val="8"/>
            <color indexed="81"/>
            <rFont val="Tahoma"/>
            <family val="2"/>
          </rPr>
          <t>When Yes, Cut Out measurements must be supplied in the next cells.</t>
        </r>
      </text>
    </comment>
    <comment ref="R35" authorId="0" shapeId="0" xr:uid="{00000000-0006-0000-0200-0000C5000000}">
      <text>
        <r>
          <rPr>
            <sz val="8"/>
            <color indexed="81"/>
            <rFont val="Tahoma"/>
            <family val="2"/>
          </rPr>
          <t>Blind Width          Maximum Cut Out Width
270 - 299mm       80mm
300 - 400mm       90mm
401 - 527mm        110mm
528 - 850mm       140mm
  &gt; 851mm              165mm</t>
        </r>
      </text>
    </comment>
    <comment ref="T35" authorId="0" shapeId="0" xr:uid="{00000000-0006-0000-0200-0000C6000000}">
      <text>
        <r>
          <rPr>
            <sz val="8"/>
            <color indexed="81"/>
            <rFont val="Tahoma"/>
            <family val="2"/>
          </rPr>
          <t>Blind Width          Maximum Cut Out Width
270 - 299mm       80mm
300 - 400mm       90mm
401 - 527mm        110mm
528 - 850mm       140mm
  &gt; 851mm              165mm</t>
        </r>
      </text>
    </comment>
    <comment ref="F36" authorId="0" shapeId="0" xr:uid="{00000000-0006-0000-0200-0000C7000000}">
      <text>
        <r>
          <rPr>
            <sz val="8"/>
            <color indexed="81"/>
            <rFont val="Tahoma"/>
            <family val="2"/>
          </rPr>
          <t>Minimum Width is 270mm.
Maximum Width is 2700mm.
All openings over 2700mm wide will require 
multiple Blinds.</t>
        </r>
      </text>
    </comment>
    <comment ref="G36" authorId="0" shapeId="0" xr:uid="{00000000-0006-0000-0200-0000C8000000}">
      <text>
        <r>
          <rPr>
            <sz val="8"/>
            <color indexed="81"/>
            <rFont val="Tahoma"/>
            <family val="2"/>
          </rPr>
          <t>Maximum Height/Drop is 3600mm.</t>
        </r>
      </text>
    </comment>
    <comment ref="H36" authorId="0" shapeId="0" xr:uid="{00000000-0006-0000-0200-0000C9000000}">
      <text>
        <r>
          <rPr>
            <sz val="8"/>
            <color indexed="81"/>
            <rFont val="Tahoma"/>
            <family val="2"/>
          </rPr>
          <t>When selecting a
Corner or Bay Window Type, 
the CMB Corner WS or CMB Bay WS 
must be completed.</t>
        </r>
      </text>
    </comment>
    <comment ref="J36" authorId="0" shapeId="0" xr:uid="{00000000-0006-0000-0200-0000CA000000}">
      <text>
        <r>
          <rPr>
            <sz val="8"/>
            <color indexed="81"/>
            <rFont val="Tahoma"/>
            <family val="2"/>
          </rPr>
          <t>ACT 
Actual Measurements
You have made the allowances.
NAM
No Allowances Made 
The factory will make the deductions.</t>
        </r>
      </text>
    </comment>
    <comment ref="O36" authorId="0" shapeId="0" xr:uid="{00000000-0006-0000-0200-0000CB000000}">
      <text>
        <r>
          <rPr>
            <sz val="8"/>
            <color indexed="81"/>
            <rFont val="Tahoma"/>
            <family val="2"/>
          </rPr>
          <t>When Yes, Cut Out measurements must be supplied in the next cells.</t>
        </r>
      </text>
    </comment>
    <comment ref="R36" authorId="0" shapeId="0" xr:uid="{00000000-0006-0000-0200-0000CC000000}">
      <text>
        <r>
          <rPr>
            <sz val="8"/>
            <color indexed="81"/>
            <rFont val="Tahoma"/>
            <family val="2"/>
          </rPr>
          <t>Blind Width          Maximum Cut Out Width
270 - 299mm       80mm
300 - 400mm       90mm
401 - 527mm        110mm
528 - 850mm       140mm
  &gt; 851mm              165mm</t>
        </r>
      </text>
    </comment>
    <comment ref="T36" authorId="0" shapeId="0" xr:uid="{00000000-0006-0000-0200-0000CD000000}">
      <text>
        <r>
          <rPr>
            <sz val="8"/>
            <color indexed="81"/>
            <rFont val="Tahoma"/>
            <family val="2"/>
          </rPr>
          <t>Blind Width          Maximum Cut Out Width
270 - 299mm       80mm
300 - 400mm       90mm
401 - 527mm        110mm
528 - 850mm       140mm
  &gt; 851mm              165mm</t>
        </r>
      </text>
    </comment>
    <comment ref="F37" authorId="0" shapeId="0" xr:uid="{00000000-0006-0000-0200-0000CE000000}">
      <text>
        <r>
          <rPr>
            <sz val="8"/>
            <color indexed="81"/>
            <rFont val="Tahoma"/>
            <family val="2"/>
          </rPr>
          <t>Minimum Width is 270mm.
Maximum Width is 2700mm.
All openings over 2700mm wide will require 
multiple Blinds.</t>
        </r>
      </text>
    </comment>
    <comment ref="G37" authorId="0" shapeId="0" xr:uid="{00000000-0006-0000-0200-0000CF000000}">
      <text>
        <r>
          <rPr>
            <sz val="8"/>
            <color indexed="81"/>
            <rFont val="Tahoma"/>
            <family val="2"/>
          </rPr>
          <t>Maximum Height/Drop is 3600mm.</t>
        </r>
      </text>
    </comment>
    <comment ref="H37" authorId="0" shapeId="0" xr:uid="{00000000-0006-0000-0200-0000D0000000}">
      <text>
        <r>
          <rPr>
            <sz val="8"/>
            <color indexed="81"/>
            <rFont val="Tahoma"/>
            <family val="2"/>
          </rPr>
          <t>When selecting a
Corner or Bay Window Type, 
the CMB Corner WS or CMB Bay WS 
must be completed.</t>
        </r>
      </text>
    </comment>
    <comment ref="J37" authorId="0" shapeId="0" xr:uid="{00000000-0006-0000-0200-0000D1000000}">
      <text>
        <r>
          <rPr>
            <sz val="8"/>
            <color indexed="81"/>
            <rFont val="Tahoma"/>
            <family val="2"/>
          </rPr>
          <t>ACT 
Actual Measurements
You have made the allowances.
NAM
No Allowances Made 
The factory will make the deductions.</t>
        </r>
      </text>
    </comment>
    <comment ref="O37" authorId="0" shapeId="0" xr:uid="{00000000-0006-0000-0200-0000D2000000}">
      <text>
        <r>
          <rPr>
            <sz val="8"/>
            <color indexed="81"/>
            <rFont val="Tahoma"/>
            <family val="2"/>
          </rPr>
          <t>When Yes, Cut Out measurements must be supplied in the next cells.</t>
        </r>
      </text>
    </comment>
    <comment ref="R37" authorId="0" shapeId="0" xr:uid="{00000000-0006-0000-0200-0000D3000000}">
      <text>
        <r>
          <rPr>
            <sz val="8"/>
            <color indexed="81"/>
            <rFont val="Tahoma"/>
            <family val="2"/>
          </rPr>
          <t>Blind Width          Maximum Cut Out Width
270 - 299mm       80mm
300 - 400mm       90mm
401 - 527mm        110mm
528 - 850mm       140mm
  &gt; 851mm              165mm</t>
        </r>
      </text>
    </comment>
    <comment ref="T37" authorId="0" shapeId="0" xr:uid="{00000000-0006-0000-0200-0000D4000000}">
      <text>
        <r>
          <rPr>
            <sz val="8"/>
            <color indexed="81"/>
            <rFont val="Tahoma"/>
            <family val="2"/>
          </rPr>
          <t>Blind Width          Maximum Cut Out Width
270 - 299mm       80mm
300 - 400mm       90mm
401 - 527mm        110mm
528 - 850mm       140mm
  &gt; 851mm              165mm</t>
        </r>
      </text>
    </comment>
    <comment ref="F38" authorId="0" shapeId="0" xr:uid="{00000000-0006-0000-0200-0000D5000000}">
      <text>
        <r>
          <rPr>
            <sz val="8"/>
            <color indexed="81"/>
            <rFont val="Tahoma"/>
            <family val="2"/>
          </rPr>
          <t>Minimum Width is 270mm.
Maximum Width is 2700mm.
All openings over 2700mm wide will require 
multiple Blinds.</t>
        </r>
      </text>
    </comment>
    <comment ref="G38" authorId="0" shapeId="0" xr:uid="{00000000-0006-0000-0200-0000D6000000}">
      <text>
        <r>
          <rPr>
            <sz val="8"/>
            <color indexed="81"/>
            <rFont val="Tahoma"/>
            <family val="2"/>
          </rPr>
          <t>Maximum Height/Drop is 3600mm.</t>
        </r>
      </text>
    </comment>
    <comment ref="H38" authorId="0" shapeId="0" xr:uid="{00000000-0006-0000-0200-0000D7000000}">
      <text>
        <r>
          <rPr>
            <sz val="8"/>
            <color indexed="81"/>
            <rFont val="Tahoma"/>
            <family val="2"/>
          </rPr>
          <t>When selecting a
Corner or Bay Window Type, 
the CMB Corner WS or CMB Bay WS 
must be completed.</t>
        </r>
      </text>
    </comment>
    <comment ref="J38" authorId="0" shapeId="0" xr:uid="{00000000-0006-0000-0200-0000D8000000}">
      <text>
        <r>
          <rPr>
            <sz val="8"/>
            <color indexed="81"/>
            <rFont val="Tahoma"/>
            <family val="2"/>
          </rPr>
          <t>ACT 
Actual Measurements
You have made the allowances.
NAM
No Allowances Made 
The factory will make the deductions.</t>
        </r>
      </text>
    </comment>
    <comment ref="O38" authorId="0" shapeId="0" xr:uid="{00000000-0006-0000-0200-0000D9000000}">
      <text>
        <r>
          <rPr>
            <sz val="8"/>
            <color indexed="81"/>
            <rFont val="Tahoma"/>
            <family val="2"/>
          </rPr>
          <t>When Yes, Cut Out measurements must be supplied in the next cells.</t>
        </r>
      </text>
    </comment>
    <comment ref="R38" authorId="0" shapeId="0" xr:uid="{00000000-0006-0000-0200-0000DA000000}">
      <text>
        <r>
          <rPr>
            <sz val="8"/>
            <color indexed="81"/>
            <rFont val="Tahoma"/>
            <family val="2"/>
          </rPr>
          <t>Blind Width          Maximum Cut Out Width
270 - 299mm       80mm
300 - 400mm       90mm
401 - 527mm        110mm
528 - 850mm       140mm
  &gt; 851mm              165mm</t>
        </r>
      </text>
    </comment>
    <comment ref="T38" authorId="0" shapeId="0" xr:uid="{00000000-0006-0000-0200-0000DB000000}">
      <text>
        <r>
          <rPr>
            <sz val="8"/>
            <color indexed="81"/>
            <rFont val="Tahoma"/>
            <family val="2"/>
          </rPr>
          <t>Blind Width          Maximum Cut Out Width
270 - 299mm       80mm
300 - 400mm       90mm
401 - 527mm        110mm
528 - 850mm       140mm
  &gt; 851mm              165mm</t>
        </r>
      </text>
    </comment>
    <comment ref="F39" authorId="0" shapeId="0" xr:uid="{00000000-0006-0000-0200-0000DC000000}">
      <text>
        <r>
          <rPr>
            <sz val="8"/>
            <color indexed="81"/>
            <rFont val="Tahoma"/>
            <family val="2"/>
          </rPr>
          <t>Minimum Width is 270mm.
Maximum Width is 2700mm.
All openings over 2700mm wide will require 
multiple Blinds.</t>
        </r>
      </text>
    </comment>
    <comment ref="G39" authorId="0" shapeId="0" xr:uid="{00000000-0006-0000-0200-0000DD000000}">
      <text>
        <r>
          <rPr>
            <sz val="8"/>
            <color indexed="81"/>
            <rFont val="Tahoma"/>
            <family val="2"/>
          </rPr>
          <t>Maximum Height/Drop is 3600mm.</t>
        </r>
      </text>
    </comment>
    <comment ref="H39" authorId="0" shapeId="0" xr:uid="{00000000-0006-0000-0200-0000DE000000}">
      <text>
        <r>
          <rPr>
            <sz val="8"/>
            <color indexed="81"/>
            <rFont val="Tahoma"/>
            <family val="2"/>
          </rPr>
          <t>When selecting a
Corner or Bay Window Type, 
the CMB Corner WS or CMB Bay WS 
must be completed.</t>
        </r>
      </text>
    </comment>
    <comment ref="J39" authorId="0" shapeId="0" xr:uid="{00000000-0006-0000-0200-0000DF000000}">
      <text>
        <r>
          <rPr>
            <sz val="8"/>
            <color indexed="81"/>
            <rFont val="Tahoma"/>
            <family val="2"/>
          </rPr>
          <t>ACT 
Actual Measurements
You have made the allowances.
NAM
No Allowances Made 
The factory will make the deductions.</t>
        </r>
      </text>
    </comment>
    <comment ref="O39" authorId="0" shapeId="0" xr:uid="{00000000-0006-0000-0200-0000E0000000}">
      <text>
        <r>
          <rPr>
            <sz val="8"/>
            <color indexed="81"/>
            <rFont val="Tahoma"/>
            <family val="2"/>
          </rPr>
          <t>When Yes, Cut Out measurements must be supplied in the next cells.</t>
        </r>
      </text>
    </comment>
    <comment ref="R39" authorId="0" shapeId="0" xr:uid="{00000000-0006-0000-0200-0000E1000000}">
      <text>
        <r>
          <rPr>
            <sz val="8"/>
            <color indexed="81"/>
            <rFont val="Tahoma"/>
            <family val="2"/>
          </rPr>
          <t>Blind Width          Maximum Cut Out Width
270 - 299mm       80mm
300 - 400mm       90mm
401 - 527mm        110mm
528 - 850mm       140mm
  &gt; 851mm              165mm</t>
        </r>
      </text>
    </comment>
    <comment ref="T39" authorId="0" shapeId="0" xr:uid="{00000000-0006-0000-0200-0000E2000000}">
      <text>
        <r>
          <rPr>
            <sz val="8"/>
            <color indexed="81"/>
            <rFont val="Tahoma"/>
            <family val="2"/>
          </rPr>
          <t>Blind Width          Maximum Cut Out Width
270 - 299mm       80mm
300 - 400mm       90mm
401 - 527mm        110mm
528 - 850mm       140mm
  &gt; 851mm              165mm</t>
        </r>
      </text>
    </comment>
    <comment ref="F40" authorId="0" shapeId="0" xr:uid="{00000000-0006-0000-0200-0000E3000000}">
      <text>
        <r>
          <rPr>
            <sz val="8"/>
            <color indexed="81"/>
            <rFont val="Tahoma"/>
            <family val="2"/>
          </rPr>
          <t>Minimum Width is 270mm.
Maximum Width is 2700mm.
All openings over 2700mm wide will require 
multiple Blinds.</t>
        </r>
      </text>
    </comment>
    <comment ref="G40" authorId="0" shapeId="0" xr:uid="{00000000-0006-0000-0200-0000E4000000}">
      <text>
        <r>
          <rPr>
            <sz val="8"/>
            <color indexed="81"/>
            <rFont val="Tahoma"/>
            <family val="2"/>
          </rPr>
          <t>Maximum Height/Drop is 3600mm.</t>
        </r>
      </text>
    </comment>
    <comment ref="H40" authorId="0" shapeId="0" xr:uid="{00000000-0006-0000-0200-0000E5000000}">
      <text>
        <r>
          <rPr>
            <sz val="8"/>
            <color indexed="81"/>
            <rFont val="Tahoma"/>
            <family val="2"/>
          </rPr>
          <t>When selecting a
Corner or Bay Window Type, 
the CMB Corner WS or CMB Bay WS 
must be completed.</t>
        </r>
      </text>
    </comment>
    <comment ref="J40" authorId="0" shapeId="0" xr:uid="{00000000-0006-0000-0200-0000E6000000}">
      <text>
        <r>
          <rPr>
            <sz val="8"/>
            <color indexed="81"/>
            <rFont val="Tahoma"/>
            <family val="2"/>
          </rPr>
          <t>ACT 
Actual Measurements
You have made the allowances.
NAM
No Allowances Made 
The factory will make the deductions.</t>
        </r>
      </text>
    </comment>
    <comment ref="O40" authorId="0" shapeId="0" xr:uid="{00000000-0006-0000-0200-0000E7000000}">
      <text>
        <r>
          <rPr>
            <sz val="8"/>
            <color indexed="81"/>
            <rFont val="Tahoma"/>
            <family val="2"/>
          </rPr>
          <t>When Yes, Cut Out measurements must be supplied in the next cells.</t>
        </r>
      </text>
    </comment>
    <comment ref="R40" authorId="0" shapeId="0" xr:uid="{00000000-0006-0000-0200-0000E8000000}">
      <text>
        <r>
          <rPr>
            <sz val="8"/>
            <color indexed="81"/>
            <rFont val="Tahoma"/>
            <family val="2"/>
          </rPr>
          <t>Blind Width          Maximum Cut Out Width
270 - 299mm       80mm
300 - 400mm       90mm
401 - 527mm        110mm
528 - 850mm       140mm
  &gt; 851mm              165mm</t>
        </r>
      </text>
    </comment>
    <comment ref="T40" authorId="0" shapeId="0" xr:uid="{00000000-0006-0000-0200-0000E9000000}">
      <text>
        <r>
          <rPr>
            <sz val="8"/>
            <color indexed="81"/>
            <rFont val="Tahoma"/>
            <family val="2"/>
          </rPr>
          <t>Blind Width          Maximum Cut Out Width
270 - 299mm       80mm
300 - 400mm       90mm
401 - 527mm        110mm
528 - 850mm       140mm
  &gt; 851mm              165mm</t>
        </r>
      </text>
    </comment>
    <comment ref="F41" authorId="0" shapeId="0" xr:uid="{00000000-0006-0000-0200-0000EA000000}">
      <text>
        <r>
          <rPr>
            <sz val="8"/>
            <color indexed="81"/>
            <rFont val="Tahoma"/>
            <family val="2"/>
          </rPr>
          <t>Minimum Width is 270mm.
Maximum Width is 2700mm.
All openings over 2700mm wide will require 
multiple Blinds.</t>
        </r>
      </text>
    </comment>
    <comment ref="G41" authorId="0" shapeId="0" xr:uid="{00000000-0006-0000-0200-0000EB000000}">
      <text>
        <r>
          <rPr>
            <sz val="8"/>
            <color indexed="81"/>
            <rFont val="Tahoma"/>
            <family val="2"/>
          </rPr>
          <t>Maximum Height/Drop is 3600mm.</t>
        </r>
      </text>
    </comment>
    <comment ref="H41" authorId="0" shapeId="0" xr:uid="{00000000-0006-0000-0200-0000EC000000}">
      <text>
        <r>
          <rPr>
            <sz val="8"/>
            <color indexed="81"/>
            <rFont val="Tahoma"/>
            <family val="2"/>
          </rPr>
          <t>When selecting a
Corner or Bay Window Type, 
the CMB Corner WS or CMB Bay WS 
must be completed.</t>
        </r>
      </text>
    </comment>
    <comment ref="J41" authorId="0" shapeId="0" xr:uid="{00000000-0006-0000-0200-0000ED000000}">
      <text>
        <r>
          <rPr>
            <sz val="8"/>
            <color indexed="81"/>
            <rFont val="Tahoma"/>
            <family val="2"/>
          </rPr>
          <t>ACT 
Actual Measurements
You have made the allowances.
NAM
No Allowances Made 
The factory will make the deductions.</t>
        </r>
      </text>
    </comment>
    <comment ref="O41" authorId="0" shapeId="0" xr:uid="{00000000-0006-0000-0200-0000EE000000}">
      <text>
        <r>
          <rPr>
            <sz val="8"/>
            <color indexed="81"/>
            <rFont val="Tahoma"/>
            <family val="2"/>
          </rPr>
          <t>When Yes, Cut Out measurements must be supplied in the next cells.</t>
        </r>
      </text>
    </comment>
    <comment ref="R41" authorId="0" shapeId="0" xr:uid="{00000000-0006-0000-0200-0000EF000000}">
      <text>
        <r>
          <rPr>
            <sz val="8"/>
            <color indexed="81"/>
            <rFont val="Tahoma"/>
            <family val="2"/>
          </rPr>
          <t>Blind Width          Maximum Cut Out Width
270 - 299mm       80mm
300 - 400mm       90mm
401 - 527mm        110mm
528 - 850mm       140mm
  &gt; 851mm              165mm</t>
        </r>
      </text>
    </comment>
    <comment ref="T41" authorId="0" shapeId="0" xr:uid="{00000000-0006-0000-0200-0000F0000000}">
      <text>
        <r>
          <rPr>
            <sz val="8"/>
            <color indexed="81"/>
            <rFont val="Tahoma"/>
            <family val="2"/>
          </rPr>
          <t>Blind Width          Maximum Cut Out Width
270 - 299mm       80mm
300 - 400mm       90mm
401 - 527mm        110mm
528 - 850mm       140mm
  &gt; 851mm              165mm</t>
        </r>
      </text>
    </comment>
    <comment ref="F42" authorId="0" shapeId="0" xr:uid="{00000000-0006-0000-0200-0000F1000000}">
      <text>
        <r>
          <rPr>
            <sz val="8"/>
            <color indexed="81"/>
            <rFont val="Tahoma"/>
            <family val="2"/>
          </rPr>
          <t>Minimum Width is 270mm.
Maximum Width is 2700mm.
All openings over 2700mm wide will require 
multiple Blinds.</t>
        </r>
      </text>
    </comment>
    <comment ref="G42" authorId="0" shapeId="0" xr:uid="{00000000-0006-0000-0200-0000F2000000}">
      <text>
        <r>
          <rPr>
            <sz val="8"/>
            <color indexed="81"/>
            <rFont val="Tahoma"/>
            <family val="2"/>
          </rPr>
          <t>Maximum Height/Drop is 3600mm.</t>
        </r>
      </text>
    </comment>
    <comment ref="H42" authorId="0" shapeId="0" xr:uid="{00000000-0006-0000-0200-0000F3000000}">
      <text>
        <r>
          <rPr>
            <sz val="8"/>
            <color indexed="81"/>
            <rFont val="Tahoma"/>
            <family val="2"/>
          </rPr>
          <t>When selecting a
Corner or Bay Window Type, 
the CMB Corner WS or CMB Bay WS 
must be completed.</t>
        </r>
      </text>
    </comment>
    <comment ref="J42" authorId="0" shapeId="0" xr:uid="{00000000-0006-0000-0200-0000F4000000}">
      <text>
        <r>
          <rPr>
            <sz val="8"/>
            <color indexed="81"/>
            <rFont val="Tahoma"/>
            <family val="2"/>
          </rPr>
          <t>ACT 
Actual Measurements
You have made the allowances.
NAM
No Allowances Made 
The factory will make the deductions.</t>
        </r>
      </text>
    </comment>
    <comment ref="O42" authorId="0" shapeId="0" xr:uid="{00000000-0006-0000-0200-0000F5000000}">
      <text>
        <r>
          <rPr>
            <sz val="8"/>
            <color indexed="81"/>
            <rFont val="Tahoma"/>
            <family val="2"/>
          </rPr>
          <t>When Yes, Cut Out measurements must be supplied in the next cells.</t>
        </r>
      </text>
    </comment>
    <comment ref="R42" authorId="0" shapeId="0" xr:uid="{00000000-0006-0000-0200-0000F6000000}">
      <text>
        <r>
          <rPr>
            <sz val="8"/>
            <color indexed="81"/>
            <rFont val="Tahoma"/>
            <family val="2"/>
          </rPr>
          <t>Blind Width          Maximum Cut Out Width
270 - 299mm       80mm
300 - 400mm       90mm
401 - 527mm        110mm
528 - 850mm       140mm
  &gt; 851mm              165mm</t>
        </r>
      </text>
    </comment>
    <comment ref="T42" authorId="0" shapeId="0" xr:uid="{00000000-0006-0000-0200-0000F7000000}">
      <text>
        <r>
          <rPr>
            <sz val="8"/>
            <color indexed="81"/>
            <rFont val="Tahoma"/>
            <family val="2"/>
          </rPr>
          <t>Blind Width          Maximum Cut Out Width
270 - 299mm       80mm
300 - 400mm       90mm
401 - 527mm        110mm
528 - 850mm       140mm
  &gt; 851mm              165mm</t>
        </r>
      </text>
    </comment>
    <comment ref="F43" authorId="0" shapeId="0" xr:uid="{00000000-0006-0000-0200-0000F8000000}">
      <text>
        <r>
          <rPr>
            <sz val="8"/>
            <color indexed="81"/>
            <rFont val="Tahoma"/>
            <family val="2"/>
          </rPr>
          <t>Minimum Width is 270mm.
Maximum Width is 2700mm.
All openings over 2700mm wide will require 
multiple Blinds.</t>
        </r>
      </text>
    </comment>
    <comment ref="G43" authorId="0" shapeId="0" xr:uid="{00000000-0006-0000-0200-0000F9000000}">
      <text>
        <r>
          <rPr>
            <sz val="8"/>
            <color indexed="81"/>
            <rFont val="Tahoma"/>
            <family val="2"/>
          </rPr>
          <t>Maximum Height/Drop is 3600mm.</t>
        </r>
      </text>
    </comment>
    <comment ref="H43" authorId="0" shapeId="0" xr:uid="{00000000-0006-0000-0200-0000FA000000}">
      <text>
        <r>
          <rPr>
            <sz val="8"/>
            <color indexed="81"/>
            <rFont val="Tahoma"/>
            <family val="2"/>
          </rPr>
          <t>When selecting a
Corner or Bay Window Type, 
the CMB Corner WS or CMB Bay WS 
must be completed.</t>
        </r>
      </text>
    </comment>
    <comment ref="J43" authorId="0" shapeId="0" xr:uid="{00000000-0006-0000-0200-0000FB000000}">
      <text>
        <r>
          <rPr>
            <sz val="8"/>
            <color indexed="81"/>
            <rFont val="Tahoma"/>
            <family val="2"/>
          </rPr>
          <t>ACT 
Actual Measurements
You have made the allowances.
NAM
No Allowances Made 
The factory will make the deductions.</t>
        </r>
      </text>
    </comment>
    <comment ref="O43" authorId="0" shapeId="0" xr:uid="{00000000-0006-0000-0200-0000FC000000}">
      <text>
        <r>
          <rPr>
            <sz val="8"/>
            <color indexed="81"/>
            <rFont val="Tahoma"/>
            <family val="2"/>
          </rPr>
          <t>When Yes, Cut Out measurements must be supplied in the next cells.</t>
        </r>
      </text>
    </comment>
    <comment ref="R43" authorId="0" shapeId="0" xr:uid="{00000000-0006-0000-0200-0000FD000000}">
      <text>
        <r>
          <rPr>
            <sz val="8"/>
            <color indexed="81"/>
            <rFont val="Tahoma"/>
            <family val="2"/>
          </rPr>
          <t>Blind Width          Maximum Cut Out Width
270 - 299mm       80mm
300 - 400mm       90mm
401 - 527mm        110mm
528 - 850mm       140mm
  &gt; 851mm              165mm</t>
        </r>
      </text>
    </comment>
    <comment ref="T43" authorId="0" shapeId="0" xr:uid="{00000000-0006-0000-0200-0000FE000000}">
      <text>
        <r>
          <rPr>
            <sz val="8"/>
            <color indexed="81"/>
            <rFont val="Tahoma"/>
            <family val="2"/>
          </rPr>
          <t>Blind Width          Maximum Cut Out Width
270 - 299mm       80mm
300 - 400mm       90mm
401 - 527mm        110mm
528 - 850mm       140mm
  &gt; 851mm              165mm</t>
        </r>
      </text>
    </comment>
    <comment ref="F44" authorId="0" shapeId="0" xr:uid="{00000000-0006-0000-0200-0000FF000000}">
      <text>
        <r>
          <rPr>
            <sz val="8"/>
            <color indexed="81"/>
            <rFont val="Tahoma"/>
            <family val="2"/>
          </rPr>
          <t>Minimum Width is 270mm.
Maximum Width is 2700mm.
All openings over 2700mm wide will require 
multiple Blinds.</t>
        </r>
      </text>
    </comment>
    <comment ref="G44" authorId="0" shapeId="0" xr:uid="{00000000-0006-0000-0200-000000010000}">
      <text>
        <r>
          <rPr>
            <sz val="8"/>
            <color indexed="81"/>
            <rFont val="Tahoma"/>
            <family val="2"/>
          </rPr>
          <t>Maximum Height/Drop is 3600mm.</t>
        </r>
      </text>
    </comment>
    <comment ref="H44" authorId="0" shapeId="0" xr:uid="{00000000-0006-0000-0200-000001010000}">
      <text>
        <r>
          <rPr>
            <sz val="8"/>
            <color indexed="81"/>
            <rFont val="Tahoma"/>
            <family val="2"/>
          </rPr>
          <t>When selecting a
Corner or Bay Window Type, 
the CMB Corner WS or CMB Bay WS 
must be completed.</t>
        </r>
      </text>
    </comment>
    <comment ref="J44" authorId="0" shapeId="0" xr:uid="{00000000-0006-0000-0200-000002010000}">
      <text>
        <r>
          <rPr>
            <sz val="8"/>
            <color indexed="81"/>
            <rFont val="Tahoma"/>
            <family val="2"/>
          </rPr>
          <t>ACT 
Actual Measurements
You have made the allowances.
NAM
No Allowances Made 
The factory will make the deductions.</t>
        </r>
      </text>
    </comment>
    <comment ref="O44" authorId="0" shapeId="0" xr:uid="{00000000-0006-0000-0200-000003010000}">
      <text>
        <r>
          <rPr>
            <sz val="8"/>
            <color indexed="81"/>
            <rFont val="Tahoma"/>
            <family val="2"/>
          </rPr>
          <t>When Yes, Cut Out measurements must be supplied in the next cells.</t>
        </r>
      </text>
    </comment>
    <comment ref="R44" authorId="0" shapeId="0" xr:uid="{00000000-0006-0000-0200-000004010000}">
      <text>
        <r>
          <rPr>
            <sz val="8"/>
            <color indexed="81"/>
            <rFont val="Tahoma"/>
            <family val="2"/>
          </rPr>
          <t>Blind Width          Maximum Cut Out Width
270 - 299mm       80mm
300 - 400mm       90mm
401 - 527mm        110mm
528 - 850mm       140mm
  &gt; 851mm              165mm</t>
        </r>
      </text>
    </comment>
    <comment ref="T44" authorId="0" shapeId="0" xr:uid="{00000000-0006-0000-0200-000005010000}">
      <text>
        <r>
          <rPr>
            <sz val="8"/>
            <color indexed="81"/>
            <rFont val="Tahoma"/>
            <family val="2"/>
          </rPr>
          <t>Blind Width          Maximum Cut Out Width
270 - 299mm       80mm
300 - 400mm       90mm
401 - 527mm        110mm
528 - 850mm       140mm
  &gt; 851mm              165mm</t>
        </r>
      </text>
    </comment>
    <comment ref="F45" authorId="0" shapeId="0" xr:uid="{00000000-0006-0000-0200-000006010000}">
      <text>
        <r>
          <rPr>
            <sz val="8"/>
            <color indexed="81"/>
            <rFont val="Tahoma"/>
            <family val="2"/>
          </rPr>
          <t>Minimum Width is 270mm.
Maximum Width is 2700mm.
All openings over 2700mm wide will require 
multiple Blinds.</t>
        </r>
      </text>
    </comment>
    <comment ref="G45" authorId="0" shapeId="0" xr:uid="{00000000-0006-0000-0200-000007010000}">
      <text>
        <r>
          <rPr>
            <sz val="8"/>
            <color indexed="81"/>
            <rFont val="Tahoma"/>
            <family val="2"/>
          </rPr>
          <t>Maximum Height/Drop is 3600mm.</t>
        </r>
      </text>
    </comment>
    <comment ref="H45" authorId="0" shapeId="0" xr:uid="{00000000-0006-0000-0200-000008010000}">
      <text>
        <r>
          <rPr>
            <sz val="8"/>
            <color indexed="81"/>
            <rFont val="Tahoma"/>
            <family val="2"/>
          </rPr>
          <t>When selecting a
Corner or Bay Window Type, 
the CMB Corner WS or CMB Bay WS 
must be completed.</t>
        </r>
      </text>
    </comment>
    <comment ref="J45" authorId="0" shapeId="0" xr:uid="{00000000-0006-0000-0200-000009010000}">
      <text>
        <r>
          <rPr>
            <sz val="8"/>
            <color indexed="81"/>
            <rFont val="Tahoma"/>
            <family val="2"/>
          </rPr>
          <t>ACT 
Actual Measurements
You have made the allowances.
NAM
No Allowances Made 
The factory will make the deductions.</t>
        </r>
      </text>
    </comment>
    <comment ref="O45" authorId="0" shapeId="0" xr:uid="{00000000-0006-0000-0200-00000A010000}">
      <text>
        <r>
          <rPr>
            <sz val="8"/>
            <color indexed="81"/>
            <rFont val="Tahoma"/>
            <family val="2"/>
          </rPr>
          <t>When Yes, Cut Out measurements must be supplied in the next cells.</t>
        </r>
      </text>
    </comment>
    <comment ref="R45" authorId="0" shapeId="0" xr:uid="{00000000-0006-0000-0200-00000B010000}">
      <text>
        <r>
          <rPr>
            <sz val="8"/>
            <color indexed="81"/>
            <rFont val="Tahoma"/>
            <family val="2"/>
          </rPr>
          <t>Blind Width          Maximum Cut Out Width
270 - 299mm       80mm
300 - 400mm       90mm
401 - 527mm        110mm
528 - 850mm       140mm
  &gt; 851mm              165mm</t>
        </r>
      </text>
    </comment>
    <comment ref="T45" authorId="0" shapeId="0" xr:uid="{00000000-0006-0000-0200-00000C010000}">
      <text>
        <r>
          <rPr>
            <sz val="8"/>
            <color indexed="81"/>
            <rFont val="Tahoma"/>
            <family val="2"/>
          </rPr>
          <t>Blind Width          Maximum Cut Out Width
270 - 299mm       80mm
300 - 400mm       90mm
401 - 527mm        110mm
528 - 850mm       140mm
  &gt; 851mm              165mm</t>
        </r>
      </text>
    </comment>
    <comment ref="F46" authorId="0" shapeId="0" xr:uid="{00000000-0006-0000-0200-00000D010000}">
      <text>
        <r>
          <rPr>
            <sz val="8"/>
            <color indexed="81"/>
            <rFont val="Tahoma"/>
            <family val="2"/>
          </rPr>
          <t>Minimum Width is 270mm.
Maximum Width is 2700mm.
All openings over 2700mm wide will require 
multiple Blinds.</t>
        </r>
      </text>
    </comment>
    <comment ref="G46" authorId="0" shapeId="0" xr:uid="{00000000-0006-0000-0200-00000E010000}">
      <text>
        <r>
          <rPr>
            <sz val="8"/>
            <color indexed="81"/>
            <rFont val="Tahoma"/>
            <family val="2"/>
          </rPr>
          <t>Maximum Height/Drop is 3600mm.</t>
        </r>
      </text>
    </comment>
    <comment ref="H46" authorId="0" shapeId="0" xr:uid="{00000000-0006-0000-0200-00000F010000}">
      <text>
        <r>
          <rPr>
            <sz val="8"/>
            <color indexed="81"/>
            <rFont val="Tahoma"/>
            <family val="2"/>
          </rPr>
          <t>When selecting a
Corner or Bay Window Type, 
the CMB Corner WS or CMB Bay WS 
must be completed.</t>
        </r>
      </text>
    </comment>
    <comment ref="J46" authorId="0" shapeId="0" xr:uid="{00000000-0006-0000-0200-000010010000}">
      <text>
        <r>
          <rPr>
            <sz val="8"/>
            <color indexed="81"/>
            <rFont val="Tahoma"/>
            <family val="2"/>
          </rPr>
          <t>ACT 
Actual Measurements
You have made the allowances.
NAM
No Allowances Made 
The factory will make the deductions.</t>
        </r>
      </text>
    </comment>
    <comment ref="O46" authorId="0" shapeId="0" xr:uid="{00000000-0006-0000-0200-000011010000}">
      <text>
        <r>
          <rPr>
            <sz val="8"/>
            <color indexed="81"/>
            <rFont val="Tahoma"/>
            <family val="2"/>
          </rPr>
          <t>When Yes, Cut Out measurements must be supplied in the next cells.</t>
        </r>
      </text>
    </comment>
    <comment ref="R46" authorId="0" shapeId="0" xr:uid="{00000000-0006-0000-0200-000012010000}">
      <text>
        <r>
          <rPr>
            <sz val="8"/>
            <color indexed="81"/>
            <rFont val="Tahoma"/>
            <family val="2"/>
          </rPr>
          <t>Blind Width          Maximum Cut Out Width
270 - 299mm       80mm
300 - 400mm       90mm
401 - 527mm        110mm
528 - 850mm       140mm
  &gt; 851mm              165mm</t>
        </r>
      </text>
    </comment>
    <comment ref="T46" authorId="0" shapeId="0" xr:uid="{00000000-0006-0000-0200-000013010000}">
      <text>
        <r>
          <rPr>
            <sz val="8"/>
            <color indexed="81"/>
            <rFont val="Tahoma"/>
            <family val="2"/>
          </rPr>
          <t>Blind Width          Maximum Cut Out Width
270 - 299mm       80mm
300 - 400mm       90mm
401 - 527mm        110mm
528 - 850mm       140mm
  &gt; 851mm              165mm</t>
        </r>
      </text>
    </comment>
    <comment ref="F47" authorId="0" shapeId="0" xr:uid="{00000000-0006-0000-0200-000014010000}">
      <text>
        <r>
          <rPr>
            <sz val="8"/>
            <color indexed="81"/>
            <rFont val="Tahoma"/>
            <family val="2"/>
          </rPr>
          <t>Minimum Width is 270mm.
Maximum Width is 2700mm.
All openings over 2700mm wide will require 
multiple Blinds.</t>
        </r>
      </text>
    </comment>
    <comment ref="G47" authorId="0" shapeId="0" xr:uid="{00000000-0006-0000-0200-000015010000}">
      <text>
        <r>
          <rPr>
            <sz val="8"/>
            <color indexed="81"/>
            <rFont val="Tahoma"/>
            <family val="2"/>
          </rPr>
          <t>Maximum Height/Drop is 3600mm.</t>
        </r>
      </text>
    </comment>
    <comment ref="H47" authorId="0" shapeId="0" xr:uid="{00000000-0006-0000-0200-000016010000}">
      <text>
        <r>
          <rPr>
            <sz val="8"/>
            <color indexed="81"/>
            <rFont val="Tahoma"/>
            <family val="2"/>
          </rPr>
          <t>When selecting a
Corner or Bay Window Type, 
the CMB Corner WS or CMB Bay WS 
must be completed.</t>
        </r>
      </text>
    </comment>
    <comment ref="J47" authorId="0" shapeId="0" xr:uid="{00000000-0006-0000-0200-000017010000}">
      <text>
        <r>
          <rPr>
            <sz val="8"/>
            <color indexed="81"/>
            <rFont val="Tahoma"/>
            <family val="2"/>
          </rPr>
          <t>ACT 
Actual Measurements
You have made the allowances.
NAM
No Allowances Made 
The factory will make the deductions.</t>
        </r>
      </text>
    </comment>
    <comment ref="O47" authorId="0" shapeId="0" xr:uid="{00000000-0006-0000-0200-000018010000}">
      <text>
        <r>
          <rPr>
            <sz val="8"/>
            <color indexed="81"/>
            <rFont val="Tahoma"/>
            <family val="2"/>
          </rPr>
          <t>When Yes, Cut Out measurements must be supplied in the next cells.</t>
        </r>
      </text>
    </comment>
    <comment ref="R47" authorId="0" shapeId="0" xr:uid="{00000000-0006-0000-0200-000019010000}">
      <text>
        <r>
          <rPr>
            <sz val="8"/>
            <color indexed="81"/>
            <rFont val="Tahoma"/>
            <family val="2"/>
          </rPr>
          <t>Blind Width          Maximum Cut Out Width
270 - 299mm       80mm
300 - 400mm       90mm
401 - 527mm        110mm
528 - 850mm       140mm
  &gt; 851mm              165mm</t>
        </r>
      </text>
    </comment>
    <comment ref="T47" authorId="0" shapeId="0" xr:uid="{00000000-0006-0000-0200-00001A010000}">
      <text>
        <r>
          <rPr>
            <sz val="8"/>
            <color indexed="81"/>
            <rFont val="Tahoma"/>
            <family val="2"/>
          </rPr>
          <t>Blind Width          Maximum Cut Out Width
270 - 299mm       80mm
300 - 400mm       90mm
401 - 527mm        110mm
528 - 850mm       140mm
  &gt; 851mm              165mm</t>
        </r>
      </text>
    </comment>
    <comment ref="F48" authorId="0" shapeId="0" xr:uid="{00000000-0006-0000-0200-00001B010000}">
      <text>
        <r>
          <rPr>
            <sz val="8"/>
            <color indexed="81"/>
            <rFont val="Tahoma"/>
            <family val="2"/>
          </rPr>
          <t>Minimum Width is 270mm.
Maximum Width is 2700mm.
All openings over 2700mm wide will require 
multiple Blinds.</t>
        </r>
      </text>
    </comment>
    <comment ref="G48" authorId="0" shapeId="0" xr:uid="{00000000-0006-0000-0200-00001C010000}">
      <text>
        <r>
          <rPr>
            <sz val="8"/>
            <color indexed="81"/>
            <rFont val="Tahoma"/>
            <family val="2"/>
          </rPr>
          <t>Maximum Height/Drop is 3600mm.</t>
        </r>
      </text>
    </comment>
    <comment ref="H48" authorId="0" shapeId="0" xr:uid="{00000000-0006-0000-0200-00001D010000}">
      <text>
        <r>
          <rPr>
            <sz val="8"/>
            <color indexed="81"/>
            <rFont val="Tahoma"/>
            <family val="2"/>
          </rPr>
          <t>When selecting a
Corner or Bay Window Type, 
the CMB Corner WS or CMB Bay WS 
must be completed.</t>
        </r>
      </text>
    </comment>
    <comment ref="J48" authorId="0" shapeId="0" xr:uid="{00000000-0006-0000-0200-00001E010000}">
      <text>
        <r>
          <rPr>
            <sz val="8"/>
            <color indexed="81"/>
            <rFont val="Tahoma"/>
            <family val="2"/>
          </rPr>
          <t>ACT 
Actual Measurements
You have made the allowances.
NAM
No Allowances Made 
The factory will make the deductions.</t>
        </r>
      </text>
    </comment>
    <comment ref="O48" authorId="0" shapeId="0" xr:uid="{00000000-0006-0000-0200-00001F010000}">
      <text>
        <r>
          <rPr>
            <sz val="8"/>
            <color indexed="81"/>
            <rFont val="Tahoma"/>
            <family val="2"/>
          </rPr>
          <t>When Yes, Cut Out measurements must be supplied in the next cells.</t>
        </r>
      </text>
    </comment>
    <comment ref="R48" authorId="0" shapeId="0" xr:uid="{00000000-0006-0000-0200-000020010000}">
      <text>
        <r>
          <rPr>
            <sz val="8"/>
            <color indexed="81"/>
            <rFont val="Tahoma"/>
            <family val="2"/>
          </rPr>
          <t>Blind Width          Maximum Cut Out Width
270 - 299mm       80mm
300 - 400mm       90mm
401 - 527mm        110mm
528 - 850mm       140mm
  &gt; 851mm              165mm</t>
        </r>
      </text>
    </comment>
    <comment ref="T48" authorId="0" shapeId="0" xr:uid="{00000000-0006-0000-0200-000021010000}">
      <text>
        <r>
          <rPr>
            <sz val="8"/>
            <color indexed="81"/>
            <rFont val="Tahoma"/>
            <family val="2"/>
          </rPr>
          <t>Blind Width          Maximum Cut Out Width
270 - 299mm       80mm
300 - 400mm       90mm
401 - 527mm        110mm
528 - 850mm       140mm
  &gt; 851mm              165mm</t>
        </r>
      </text>
    </comment>
    <comment ref="F49" authorId="0" shapeId="0" xr:uid="{00000000-0006-0000-0200-000022010000}">
      <text>
        <r>
          <rPr>
            <sz val="8"/>
            <color indexed="81"/>
            <rFont val="Tahoma"/>
            <family val="2"/>
          </rPr>
          <t>Minimum Width is 270mm.
Maximum Width is 2700mm.
All openings over 2700mm wide will require 
multiple Blinds.</t>
        </r>
      </text>
    </comment>
    <comment ref="G49" authorId="0" shapeId="0" xr:uid="{00000000-0006-0000-0200-000023010000}">
      <text>
        <r>
          <rPr>
            <sz val="8"/>
            <color indexed="81"/>
            <rFont val="Tahoma"/>
            <family val="2"/>
          </rPr>
          <t>Maximum Height/Drop is 3600mm.</t>
        </r>
      </text>
    </comment>
    <comment ref="H49" authorId="0" shapeId="0" xr:uid="{00000000-0006-0000-0200-000024010000}">
      <text>
        <r>
          <rPr>
            <sz val="8"/>
            <color indexed="81"/>
            <rFont val="Tahoma"/>
            <family val="2"/>
          </rPr>
          <t>When selecting a
Corner or Bay Window Type, 
the CMB Corner WS or CMB Bay WS 
must be completed.</t>
        </r>
      </text>
    </comment>
    <comment ref="J49" authorId="0" shapeId="0" xr:uid="{00000000-0006-0000-0200-000025010000}">
      <text>
        <r>
          <rPr>
            <sz val="8"/>
            <color indexed="81"/>
            <rFont val="Tahoma"/>
            <family val="2"/>
          </rPr>
          <t>ACT 
Actual Measurements
You have made the allowances.
NAM
No Allowances Made 
The factory will make the deductions.</t>
        </r>
      </text>
    </comment>
    <comment ref="O49" authorId="0" shapeId="0" xr:uid="{00000000-0006-0000-0200-000026010000}">
      <text>
        <r>
          <rPr>
            <sz val="8"/>
            <color indexed="81"/>
            <rFont val="Tahoma"/>
            <family val="2"/>
          </rPr>
          <t>When Yes, Cut Out measurements must be supplied in the next cells.</t>
        </r>
      </text>
    </comment>
    <comment ref="R49" authorId="0" shapeId="0" xr:uid="{00000000-0006-0000-0200-000027010000}">
      <text>
        <r>
          <rPr>
            <sz val="8"/>
            <color indexed="81"/>
            <rFont val="Tahoma"/>
            <family val="2"/>
          </rPr>
          <t>Blind Width          Maximum Cut Out Width
270 - 299mm       80mm
300 - 400mm       90mm
401 - 527mm        110mm
528 - 850mm       140mm
  &gt; 851mm              165mm</t>
        </r>
      </text>
    </comment>
    <comment ref="T49" authorId="0" shapeId="0" xr:uid="{00000000-0006-0000-0200-000028010000}">
      <text>
        <r>
          <rPr>
            <sz val="8"/>
            <color indexed="81"/>
            <rFont val="Tahoma"/>
            <family val="2"/>
          </rPr>
          <t>Blind Width          Maximum Cut Out Width
270 - 299mm       80mm
300 - 400mm       90mm
401 - 527mm        110mm
528 - 850mm       140mm
  &gt; 851mm              165mm</t>
        </r>
      </text>
    </comment>
    <comment ref="F50" authorId="0" shapeId="0" xr:uid="{00000000-0006-0000-0200-000029010000}">
      <text>
        <r>
          <rPr>
            <sz val="8"/>
            <color indexed="81"/>
            <rFont val="Tahoma"/>
            <family val="2"/>
          </rPr>
          <t>Minimum Width is 270mm.
Maximum Width is 2700mm.
All openings over 2700mm wide will require 
multiple Blinds.</t>
        </r>
      </text>
    </comment>
    <comment ref="G50" authorId="0" shapeId="0" xr:uid="{00000000-0006-0000-0200-00002A010000}">
      <text>
        <r>
          <rPr>
            <sz val="8"/>
            <color indexed="81"/>
            <rFont val="Tahoma"/>
            <family val="2"/>
          </rPr>
          <t>Maximum Height/Drop is 3600mm.</t>
        </r>
      </text>
    </comment>
    <comment ref="H50" authorId="0" shapeId="0" xr:uid="{00000000-0006-0000-0200-00002B010000}">
      <text>
        <r>
          <rPr>
            <sz val="8"/>
            <color indexed="81"/>
            <rFont val="Tahoma"/>
            <family val="2"/>
          </rPr>
          <t>When selecting a
Corner or Bay Window Type, 
the CMB Corner WS or CMB Bay WS 
must be completed.</t>
        </r>
      </text>
    </comment>
    <comment ref="J50" authorId="0" shapeId="0" xr:uid="{00000000-0006-0000-0200-00002C010000}">
      <text>
        <r>
          <rPr>
            <sz val="8"/>
            <color indexed="81"/>
            <rFont val="Tahoma"/>
            <family val="2"/>
          </rPr>
          <t>ACT 
Actual Measurements
You have made the allowances.
NAM
No Allowances Made 
The factory will make the deductions.</t>
        </r>
      </text>
    </comment>
    <comment ref="O50" authorId="0" shapeId="0" xr:uid="{00000000-0006-0000-0200-00002D010000}">
      <text>
        <r>
          <rPr>
            <sz val="8"/>
            <color indexed="81"/>
            <rFont val="Tahoma"/>
            <family val="2"/>
          </rPr>
          <t>When Yes, Cut Out measurements must be supplied in the next cells.</t>
        </r>
      </text>
    </comment>
    <comment ref="R50" authorId="0" shapeId="0" xr:uid="{00000000-0006-0000-0200-00002E010000}">
      <text>
        <r>
          <rPr>
            <sz val="8"/>
            <color indexed="81"/>
            <rFont val="Tahoma"/>
            <family val="2"/>
          </rPr>
          <t>Blind Width          Maximum Cut Out Width
270 - 299mm       80mm
300 - 400mm       90mm
401 - 527mm        110mm
528 - 850mm       140mm
  &gt; 851mm              165mm</t>
        </r>
      </text>
    </comment>
    <comment ref="T50" authorId="0" shapeId="0" xr:uid="{00000000-0006-0000-0200-00002F010000}">
      <text>
        <r>
          <rPr>
            <sz val="8"/>
            <color indexed="81"/>
            <rFont val="Tahoma"/>
            <family val="2"/>
          </rPr>
          <t>Blind Width          Maximum Cut Out Width
270 - 299mm       80mm
300 - 400mm       90mm
401 - 527mm        110mm
528 - 850mm       140mm
  &gt; 851mm              165mm</t>
        </r>
      </text>
    </comment>
    <comment ref="F51" authorId="0" shapeId="0" xr:uid="{00000000-0006-0000-0200-000030010000}">
      <text>
        <r>
          <rPr>
            <sz val="8"/>
            <color indexed="81"/>
            <rFont val="Tahoma"/>
            <family val="2"/>
          </rPr>
          <t>Minimum Width is 270mm.
Maximum Width is 2700mm.
All openings over 2700mm wide will require 
multiple Blinds.</t>
        </r>
      </text>
    </comment>
    <comment ref="G51" authorId="0" shapeId="0" xr:uid="{00000000-0006-0000-0200-000031010000}">
      <text>
        <r>
          <rPr>
            <sz val="8"/>
            <color indexed="81"/>
            <rFont val="Tahoma"/>
            <family val="2"/>
          </rPr>
          <t>Maximum Height/Drop is 3600mm.</t>
        </r>
      </text>
    </comment>
    <comment ref="H51" authorId="0" shapeId="0" xr:uid="{00000000-0006-0000-0200-000032010000}">
      <text>
        <r>
          <rPr>
            <sz val="8"/>
            <color indexed="81"/>
            <rFont val="Tahoma"/>
            <family val="2"/>
          </rPr>
          <t>When selecting a
Corner or Bay Window Type, 
the CMB Corner WS or CMB Bay WS 
must be completed.</t>
        </r>
      </text>
    </comment>
    <comment ref="J51" authorId="0" shapeId="0" xr:uid="{00000000-0006-0000-0200-000033010000}">
      <text>
        <r>
          <rPr>
            <sz val="8"/>
            <color indexed="81"/>
            <rFont val="Tahoma"/>
            <family val="2"/>
          </rPr>
          <t>ACT 
Actual Measurements
You have made the allowances.
NAM
No Allowances Made 
The factory will make the deductions.</t>
        </r>
      </text>
    </comment>
    <comment ref="O51" authorId="0" shapeId="0" xr:uid="{00000000-0006-0000-0200-000034010000}">
      <text>
        <r>
          <rPr>
            <sz val="8"/>
            <color indexed="81"/>
            <rFont val="Tahoma"/>
            <family val="2"/>
          </rPr>
          <t>When Yes, Cut Out measurements must be supplied in the next cells.</t>
        </r>
      </text>
    </comment>
    <comment ref="R51" authorId="0" shapeId="0" xr:uid="{00000000-0006-0000-0200-000035010000}">
      <text>
        <r>
          <rPr>
            <sz val="8"/>
            <color indexed="81"/>
            <rFont val="Tahoma"/>
            <family val="2"/>
          </rPr>
          <t>Blind Width          Maximum Cut Out Width
270 - 299mm       80mm
300 - 400mm       90mm
401 - 527mm        110mm
528 - 850mm       140mm
  &gt; 851mm              165mm</t>
        </r>
      </text>
    </comment>
    <comment ref="T51" authorId="0" shapeId="0" xr:uid="{00000000-0006-0000-0200-000036010000}">
      <text>
        <r>
          <rPr>
            <sz val="8"/>
            <color indexed="81"/>
            <rFont val="Tahoma"/>
            <family val="2"/>
          </rPr>
          <t>Blind Width          Maximum Cut Out Width
270 - 299mm       80mm
300 - 400mm       90mm
401 - 527mm        110mm
528 - 850mm       140mm
  &gt; 851mm              165mm</t>
        </r>
      </text>
    </comment>
    <comment ref="F52" authorId="0" shapeId="0" xr:uid="{00000000-0006-0000-0200-000037010000}">
      <text>
        <r>
          <rPr>
            <sz val="8"/>
            <color indexed="81"/>
            <rFont val="Tahoma"/>
            <family val="2"/>
          </rPr>
          <t>Minimum Width is 270mm.
Maximum Width is 2700mm.
All openings over 2700mm wide will require 
multiple Blinds.</t>
        </r>
      </text>
    </comment>
    <comment ref="G52" authorId="0" shapeId="0" xr:uid="{00000000-0006-0000-0200-000038010000}">
      <text>
        <r>
          <rPr>
            <sz val="8"/>
            <color indexed="81"/>
            <rFont val="Tahoma"/>
            <family val="2"/>
          </rPr>
          <t>Maximum Height/Drop is 3600mm.</t>
        </r>
      </text>
    </comment>
    <comment ref="H52" authorId="0" shapeId="0" xr:uid="{00000000-0006-0000-0200-000039010000}">
      <text>
        <r>
          <rPr>
            <sz val="8"/>
            <color indexed="81"/>
            <rFont val="Tahoma"/>
            <family val="2"/>
          </rPr>
          <t>When selecting a
Corner or Bay Window Type, 
the CMB Corner WS or CMB Bay WS 
must be completed.</t>
        </r>
      </text>
    </comment>
    <comment ref="J52" authorId="0" shapeId="0" xr:uid="{00000000-0006-0000-0200-00003A010000}">
      <text>
        <r>
          <rPr>
            <sz val="8"/>
            <color indexed="81"/>
            <rFont val="Tahoma"/>
            <family val="2"/>
          </rPr>
          <t>ACT 
Actual Measurements
You have made the allowances.
NAM
No Allowances Made 
The factory will make the deductions.</t>
        </r>
      </text>
    </comment>
    <comment ref="O52" authorId="0" shapeId="0" xr:uid="{00000000-0006-0000-0200-00003B010000}">
      <text>
        <r>
          <rPr>
            <sz val="8"/>
            <color indexed="81"/>
            <rFont val="Tahoma"/>
            <family val="2"/>
          </rPr>
          <t>When Yes, Cut Out measurements must be supplied in the next cells.</t>
        </r>
      </text>
    </comment>
    <comment ref="R52" authorId="0" shapeId="0" xr:uid="{00000000-0006-0000-0200-00003C010000}">
      <text>
        <r>
          <rPr>
            <sz val="8"/>
            <color indexed="81"/>
            <rFont val="Tahoma"/>
            <family val="2"/>
          </rPr>
          <t>Blind Width          Maximum Cut Out Width
270 - 299mm       80mm
300 - 400mm       90mm
401 - 527mm        110mm
528 - 850mm       140mm
  &gt; 851mm              165mm</t>
        </r>
      </text>
    </comment>
    <comment ref="T52" authorId="0" shapeId="0" xr:uid="{00000000-0006-0000-0200-00003D010000}">
      <text>
        <r>
          <rPr>
            <sz val="8"/>
            <color indexed="81"/>
            <rFont val="Tahoma"/>
            <family val="2"/>
          </rPr>
          <t>Blind Width          Maximum Cut Out Width
270 - 299mm       80mm
300 - 400mm       90mm
401 - 527mm        110mm
528 - 850mm       140mm
  &gt; 851mm              165mm</t>
        </r>
      </text>
    </comment>
    <comment ref="F53" authorId="0" shapeId="0" xr:uid="{00000000-0006-0000-0200-00003E010000}">
      <text>
        <r>
          <rPr>
            <sz val="8"/>
            <color indexed="81"/>
            <rFont val="Tahoma"/>
            <family val="2"/>
          </rPr>
          <t>Minimum Width is 270mm.
Maximum Width is 2700mm.
All openings over 2700mm wide will require 
multiple Blinds.</t>
        </r>
      </text>
    </comment>
    <comment ref="G53" authorId="0" shapeId="0" xr:uid="{00000000-0006-0000-0200-00003F010000}">
      <text>
        <r>
          <rPr>
            <sz val="8"/>
            <color indexed="81"/>
            <rFont val="Tahoma"/>
            <family val="2"/>
          </rPr>
          <t>Maximum Height/Drop is 3600mm.</t>
        </r>
      </text>
    </comment>
    <comment ref="H53" authorId="0" shapeId="0" xr:uid="{00000000-0006-0000-0200-000040010000}">
      <text>
        <r>
          <rPr>
            <sz val="8"/>
            <color indexed="81"/>
            <rFont val="Tahoma"/>
            <family val="2"/>
          </rPr>
          <t>When selecting a
Corner or Bay Window Type, 
the CMB Corner WS or CMB Bay WS 
must be completed.</t>
        </r>
      </text>
    </comment>
    <comment ref="J53" authorId="0" shapeId="0" xr:uid="{00000000-0006-0000-0200-000041010000}">
      <text>
        <r>
          <rPr>
            <sz val="8"/>
            <color indexed="81"/>
            <rFont val="Tahoma"/>
            <family val="2"/>
          </rPr>
          <t>ACT 
Actual Measurements
You have made the allowances.
NAM
No Allowances Made 
The factory will make the deductions.</t>
        </r>
      </text>
    </comment>
    <comment ref="O53" authorId="0" shapeId="0" xr:uid="{00000000-0006-0000-0200-000042010000}">
      <text>
        <r>
          <rPr>
            <sz val="8"/>
            <color indexed="81"/>
            <rFont val="Tahoma"/>
            <family val="2"/>
          </rPr>
          <t>When Yes, Cut Out measurements must be supplied in the next cells.</t>
        </r>
      </text>
    </comment>
    <comment ref="R53" authorId="0" shapeId="0" xr:uid="{00000000-0006-0000-0200-000043010000}">
      <text>
        <r>
          <rPr>
            <sz val="8"/>
            <color indexed="81"/>
            <rFont val="Tahoma"/>
            <family val="2"/>
          </rPr>
          <t>Blind Width          Maximum Cut Out Width
270 - 299mm       80mm
300 - 400mm       90mm
401 - 527mm        110mm
528 - 850mm       140mm
  &gt; 851mm              165mm</t>
        </r>
      </text>
    </comment>
    <comment ref="T53" authorId="0" shapeId="0" xr:uid="{00000000-0006-0000-0200-000044010000}">
      <text>
        <r>
          <rPr>
            <sz val="8"/>
            <color indexed="81"/>
            <rFont val="Tahoma"/>
            <family val="2"/>
          </rPr>
          <t>Blind Width          Maximum Cut Out Width
270 - 299mm       80mm
300 - 400mm       90mm
401 - 527mm        110mm
528 - 850mm       140mm
  &gt; 851mm              165mm</t>
        </r>
      </text>
    </comment>
    <comment ref="F54" authorId="0" shapeId="0" xr:uid="{00000000-0006-0000-0200-000045010000}">
      <text>
        <r>
          <rPr>
            <sz val="8"/>
            <color indexed="81"/>
            <rFont val="Tahoma"/>
            <family val="2"/>
          </rPr>
          <t>Minimum Width is 270mm.
Maximum Width is 2700mm.
All openings over 2700mm wide will require 
multiple Blinds.</t>
        </r>
      </text>
    </comment>
    <comment ref="G54" authorId="0" shapeId="0" xr:uid="{00000000-0006-0000-0200-000046010000}">
      <text>
        <r>
          <rPr>
            <sz val="8"/>
            <color indexed="81"/>
            <rFont val="Tahoma"/>
            <family val="2"/>
          </rPr>
          <t>Maximum Height/Drop is 3600mm.</t>
        </r>
      </text>
    </comment>
    <comment ref="H54" authorId="0" shapeId="0" xr:uid="{00000000-0006-0000-0200-000047010000}">
      <text>
        <r>
          <rPr>
            <sz val="8"/>
            <color indexed="81"/>
            <rFont val="Tahoma"/>
            <family val="2"/>
          </rPr>
          <t>When selecting a
Corner or Bay Window Type, 
the CMB Corner WS or CMB Bay WS 
must be completed.</t>
        </r>
      </text>
    </comment>
    <comment ref="J54" authorId="0" shapeId="0" xr:uid="{00000000-0006-0000-0200-000048010000}">
      <text>
        <r>
          <rPr>
            <sz val="8"/>
            <color indexed="81"/>
            <rFont val="Tahoma"/>
            <family val="2"/>
          </rPr>
          <t>ACT 
Actual Measurements
You have made the allowances.
NAM
No Allowances Made 
The factory will make the deductions.</t>
        </r>
      </text>
    </comment>
    <comment ref="O54" authorId="0" shapeId="0" xr:uid="{00000000-0006-0000-0200-000049010000}">
      <text>
        <r>
          <rPr>
            <sz val="8"/>
            <color indexed="81"/>
            <rFont val="Tahoma"/>
            <family val="2"/>
          </rPr>
          <t>When Yes, Cut Out measurements must be supplied in the next cells.</t>
        </r>
      </text>
    </comment>
    <comment ref="R54" authorId="0" shapeId="0" xr:uid="{00000000-0006-0000-0200-00004A010000}">
      <text>
        <r>
          <rPr>
            <sz val="8"/>
            <color indexed="81"/>
            <rFont val="Tahoma"/>
            <family val="2"/>
          </rPr>
          <t>Blind Width          Maximum Cut Out Width
270 - 299mm       80mm
300 - 400mm       90mm
401 - 527mm        110mm
528 - 850mm       140mm
  &gt; 851mm              165mm</t>
        </r>
      </text>
    </comment>
    <comment ref="T54" authorId="0" shapeId="0" xr:uid="{00000000-0006-0000-0200-00004B010000}">
      <text>
        <r>
          <rPr>
            <sz val="8"/>
            <color indexed="81"/>
            <rFont val="Tahoma"/>
            <family val="2"/>
          </rPr>
          <t>Blind Width          Maximum Cut Out Width
270 - 299mm       80mm
300 - 400mm       90mm
401 - 527mm        110mm
528 - 850mm       140mm
  &gt; 851mm              165mm</t>
        </r>
      </text>
    </comment>
    <comment ref="F55" authorId="0" shapeId="0" xr:uid="{00000000-0006-0000-0200-00004C010000}">
      <text>
        <r>
          <rPr>
            <sz val="8"/>
            <color indexed="81"/>
            <rFont val="Tahoma"/>
            <family val="2"/>
          </rPr>
          <t>Minimum Width is 270mm.
Maximum Width is 2700mm.
All openings over 2700mm wide will require 
multiple Blinds.</t>
        </r>
      </text>
    </comment>
    <comment ref="G55" authorId="0" shapeId="0" xr:uid="{00000000-0006-0000-0200-00004D010000}">
      <text>
        <r>
          <rPr>
            <sz val="8"/>
            <color indexed="81"/>
            <rFont val="Tahoma"/>
            <family val="2"/>
          </rPr>
          <t>Maximum Height/Drop is 3600mm.</t>
        </r>
      </text>
    </comment>
    <comment ref="H55" authorId="0" shapeId="0" xr:uid="{00000000-0006-0000-0200-00004E010000}">
      <text>
        <r>
          <rPr>
            <sz val="8"/>
            <color indexed="81"/>
            <rFont val="Tahoma"/>
            <family val="2"/>
          </rPr>
          <t>When selecting a
Corner or Bay Window Type, 
the CMB Corner WS or CMB Bay WS 
must be completed.</t>
        </r>
      </text>
    </comment>
    <comment ref="J55" authorId="0" shapeId="0" xr:uid="{00000000-0006-0000-0200-00004F010000}">
      <text>
        <r>
          <rPr>
            <sz val="8"/>
            <color indexed="81"/>
            <rFont val="Tahoma"/>
            <family val="2"/>
          </rPr>
          <t>ACT 
Actual Measurements
You have made the allowances.
NAM
No Allowances Made 
The factory will make the deductions.</t>
        </r>
      </text>
    </comment>
    <comment ref="O55" authorId="0" shapeId="0" xr:uid="{00000000-0006-0000-0200-000050010000}">
      <text>
        <r>
          <rPr>
            <sz val="8"/>
            <color indexed="81"/>
            <rFont val="Tahoma"/>
            <family val="2"/>
          </rPr>
          <t>When Yes, Cut Out measurements must be supplied in the next cells.</t>
        </r>
      </text>
    </comment>
    <comment ref="R55" authorId="0" shapeId="0" xr:uid="{00000000-0006-0000-0200-000051010000}">
      <text>
        <r>
          <rPr>
            <sz val="8"/>
            <color indexed="81"/>
            <rFont val="Tahoma"/>
            <family val="2"/>
          </rPr>
          <t>Blind Width          Maximum Cut Out Width
270 - 299mm       80mm
300 - 400mm       90mm
401 - 527mm        110mm
528 - 850mm       140mm
  &gt; 851mm              165mm</t>
        </r>
      </text>
    </comment>
    <comment ref="T55" authorId="0" shapeId="0" xr:uid="{00000000-0006-0000-0200-000052010000}">
      <text>
        <r>
          <rPr>
            <sz val="8"/>
            <color indexed="81"/>
            <rFont val="Tahoma"/>
            <family val="2"/>
          </rPr>
          <t>Blind Width          Maximum Cut Out Width
270 - 299mm       80mm
300 - 400mm       90mm
401 - 527mm        110mm
528 - 850mm       140mm
  &gt; 851mm              165mm</t>
        </r>
      </text>
    </comment>
    <comment ref="F56" authorId="0" shapeId="0" xr:uid="{00000000-0006-0000-0200-000053010000}">
      <text>
        <r>
          <rPr>
            <sz val="8"/>
            <color indexed="81"/>
            <rFont val="Tahoma"/>
            <family val="2"/>
          </rPr>
          <t>Minimum Width is 270mm.
Maximum Width is 2700mm.
All openings over 2700mm wide will require 
multiple Blinds.</t>
        </r>
      </text>
    </comment>
    <comment ref="G56" authorId="0" shapeId="0" xr:uid="{00000000-0006-0000-0200-000054010000}">
      <text>
        <r>
          <rPr>
            <sz val="8"/>
            <color indexed="81"/>
            <rFont val="Tahoma"/>
            <family val="2"/>
          </rPr>
          <t>Maximum Height/Drop is 3600mm.</t>
        </r>
      </text>
    </comment>
    <comment ref="H56" authorId="0" shapeId="0" xr:uid="{00000000-0006-0000-0200-000055010000}">
      <text>
        <r>
          <rPr>
            <sz val="8"/>
            <color indexed="81"/>
            <rFont val="Tahoma"/>
            <family val="2"/>
          </rPr>
          <t>When selecting a
Corner or Bay Window Type, 
the CMB Corner WS or CMB Bay WS 
must be completed.</t>
        </r>
      </text>
    </comment>
    <comment ref="J56" authorId="0" shapeId="0" xr:uid="{00000000-0006-0000-0200-000056010000}">
      <text>
        <r>
          <rPr>
            <sz val="8"/>
            <color indexed="81"/>
            <rFont val="Tahoma"/>
            <family val="2"/>
          </rPr>
          <t>ACT 
Actual Measurements
You have made the allowances.
NAM
No Allowances Made 
The factory will make the deductions.</t>
        </r>
      </text>
    </comment>
    <comment ref="O56" authorId="0" shapeId="0" xr:uid="{00000000-0006-0000-0200-000057010000}">
      <text>
        <r>
          <rPr>
            <sz val="8"/>
            <color indexed="81"/>
            <rFont val="Tahoma"/>
            <family val="2"/>
          </rPr>
          <t>When Yes, Cut Out measurements must be supplied in the next cells.</t>
        </r>
      </text>
    </comment>
    <comment ref="R56" authorId="0" shapeId="0" xr:uid="{00000000-0006-0000-0200-000058010000}">
      <text>
        <r>
          <rPr>
            <sz val="8"/>
            <color indexed="81"/>
            <rFont val="Tahoma"/>
            <family val="2"/>
          </rPr>
          <t>Blind Width          Maximum Cut Out Width
270 - 299mm       80mm
300 - 400mm       90mm
401 - 527mm        110mm
528 - 850mm       140mm
  &gt; 851mm              165mm</t>
        </r>
      </text>
    </comment>
    <comment ref="T56" authorId="0" shapeId="0" xr:uid="{00000000-0006-0000-0200-000059010000}">
      <text>
        <r>
          <rPr>
            <sz val="8"/>
            <color indexed="81"/>
            <rFont val="Tahoma"/>
            <family val="2"/>
          </rPr>
          <t>Blind Width          Maximum Cut Out Width
270 - 299mm       80mm
300 - 400mm       90mm
401 - 527mm        110mm
528 - 850mm       140mm
  &gt; 851mm              165mm</t>
        </r>
      </text>
    </comment>
    <comment ref="F57" authorId="0" shapeId="0" xr:uid="{00000000-0006-0000-0200-00005A010000}">
      <text>
        <r>
          <rPr>
            <sz val="8"/>
            <color indexed="81"/>
            <rFont val="Tahoma"/>
            <family val="2"/>
          </rPr>
          <t>Minimum Width is 270mm.
Maximum Width is 2700mm.
All openings over 2700mm wide will require 
multiple Blinds.</t>
        </r>
      </text>
    </comment>
    <comment ref="G57" authorId="0" shapeId="0" xr:uid="{00000000-0006-0000-0200-00005B010000}">
      <text>
        <r>
          <rPr>
            <sz val="8"/>
            <color indexed="81"/>
            <rFont val="Tahoma"/>
            <family val="2"/>
          </rPr>
          <t>Maximum Height/Drop is 3600mm.</t>
        </r>
      </text>
    </comment>
    <comment ref="H57" authorId="0" shapeId="0" xr:uid="{00000000-0006-0000-0200-00005C010000}">
      <text>
        <r>
          <rPr>
            <sz val="8"/>
            <color indexed="81"/>
            <rFont val="Tahoma"/>
            <family val="2"/>
          </rPr>
          <t>When selecting a
Corner or Bay Window Type, 
the CMB Corner WS or CMB Bay WS 
must be completed.</t>
        </r>
      </text>
    </comment>
    <comment ref="J57" authorId="0" shapeId="0" xr:uid="{00000000-0006-0000-0200-00005D010000}">
      <text>
        <r>
          <rPr>
            <sz val="8"/>
            <color indexed="81"/>
            <rFont val="Tahoma"/>
            <family val="2"/>
          </rPr>
          <t>ACT 
Actual Measurements
You have made the allowances.
NAM
No Allowances Made 
The factory will make the deductions.</t>
        </r>
      </text>
    </comment>
    <comment ref="O57" authorId="0" shapeId="0" xr:uid="{00000000-0006-0000-0200-00005E010000}">
      <text>
        <r>
          <rPr>
            <sz val="8"/>
            <color indexed="81"/>
            <rFont val="Tahoma"/>
            <family val="2"/>
          </rPr>
          <t>When Yes, Cut Out measurements must be supplied in the next cells.</t>
        </r>
      </text>
    </comment>
    <comment ref="R57" authorId="0" shapeId="0" xr:uid="{00000000-0006-0000-0200-00005F010000}">
      <text>
        <r>
          <rPr>
            <sz val="8"/>
            <color indexed="81"/>
            <rFont val="Tahoma"/>
            <family val="2"/>
          </rPr>
          <t>Blind Width          Maximum Cut Out Width
270 - 299mm       80mm
300 - 400mm       90mm
401 - 527mm        110mm
528 - 850mm       140mm
  &gt; 851mm              165mm</t>
        </r>
      </text>
    </comment>
    <comment ref="T57" authorId="0" shapeId="0" xr:uid="{00000000-0006-0000-0200-000060010000}">
      <text>
        <r>
          <rPr>
            <sz val="8"/>
            <color indexed="81"/>
            <rFont val="Tahoma"/>
            <family val="2"/>
          </rPr>
          <t>Blind Width          Maximum Cut Out Width
270 - 299mm       80mm
300 - 400mm       90mm
401 - 527mm        110mm
528 - 850mm       140mm
  &gt; 851mm              165mm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7" authorId="0" shapeId="0" xr:uid="{00000000-0006-0000-0400-000001000000}">
      <text>
        <r>
          <rPr>
            <sz val="8"/>
            <color indexed="81"/>
            <rFont val="Tahoma"/>
            <family val="2"/>
          </rPr>
          <t>Products options are;
London
Maui
Paris
Sunscreen</t>
        </r>
      </text>
    </comment>
    <comment ref="E7" authorId="0" shapeId="0" xr:uid="{00000000-0006-0000-0400-000002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7" authorId="0" shapeId="0" xr:uid="{00000000-0006-0000-0400-000003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7" authorId="0" shapeId="0" xr:uid="{00000000-0006-0000-0400-000004000000}">
      <text>
        <r>
          <rPr>
            <sz val="8"/>
            <color indexed="81"/>
            <rFont val="Tahoma"/>
            <family val="2"/>
          </rPr>
          <t xml:space="preserve">Minimum Height/Drop is 300mm.
Maximum Height/Drop is 3000mm. </t>
        </r>
      </text>
    </comment>
    <comment ref="H7" authorId="0" shapeId="0" xr:uid="{00000000-0006-0000-0400-000005000000}">
      <text>
        <r>
          <rPr>
            <sz val="8"/>
            <color indexed="81"/>
            <rFont val="Tahoma"/>
            <family val="2"/>
          </rPr>
          <t>When selecting a
Corner or Bay 
Window Type, 
the 
CMB Corner WS 
or 
CMB Bay WS 
must be completed.</t>
        </r>
      </text>
    </comment>
    <comment ref="J7" authorId="0" shapeId="0" xr:uid="{00000000-0006-0000-0400-000006000000}">
      <text>
        <r>
          <rPr>
            <sz val="8"/>
            <color indexed="81"/>
            <rFont val="Tahoma"/>
            <family val="2"/>
          </rPr>
          <t>ACT 
Actual Measurements
You have made the allowances.
NAM
No Allowances Made 
The factory will make the deductions.</t>
        </r>
      </text>
    </comment>
    <comment ref="M7" authorId="0" shapeId="0" xr:uid="{00000000-0006-0000-0400-000007000000}">
      <text>
        <r>
          <rPr>
            <sz val="8"/>
            <color indexed="81"/>
            <rFont val="Tahoma"/>
            <family val="2"/>
          </rPr>
          <t xml:space="preserve">
Bottom Rail Colour options;
Clear Anodised
Metallic Black
Mocha
White
White Birch</t>
        </r>
      </text>
    </comment>
    <comment ref="O7" authorId="0" shapeId="0" xr:uid="{00000000-0006-0000-0400-000008000000}">
      <text>
        <r>
          <rPr>
            <sz val="8"/>
            <color indexed="81"/>
            <rFont val="Tahoma"/>
            <family val="2"/>
          </rPr>
          <t>Control Options are;
Left
Right
When Bracket Type is Link Together, 
Left or Right can only be selected once per Linked Set.</t>
        </r>
      </text>
    </comment>
    <comment ref="Q7" authorId="0" shapeId="0" xr:uid="{00000000-0006-0000-0400-000009000000}">
      <text>
        <r>
          <rPr>
            <sz val="8"/>
            <color indexed="81"/>
            <rFont val="Tahoma"/>
            <family val="2"/>
          </rPr>
          <t>Chain Length options are; 
Default
500mm
750mm
1000mm
1250mm
1500mm
2000mm</t>
        </r>
      </text>
    </comment>
    <comment ref="R7" authorId="0" shapeId="0" xr:uid="{00000000-0006-0000-0400-00000A000000}">
      <text>
        <r>
          <rPr>
            <sz val="8"/>
            <color indexed="81"/>
            <rFont val="Tahoma"/>
            <family val="2"/>
          </rPr>
          <t>Chain Colour options are; 
White
White Birch
Black
Nickel Plated Brass
Stainless Steel</t>
        </r>
      </text>
    </comment>
    <comment ref="S7" authorId="0" shapeId="0" xr:uid="{00000000-0006-0000-0400-00000B000000}">
      <text>
        <r>
          <rPr>
            <sz val="8"/>
            <color indexed="81"/>
            <rFont val="Tahoma"/>
            <family val="2"/>
          </rPr>
          <t>When
 Standard or Common 
is selected the 
Pelmet Colour 
must be entered.</t>
        </r>
      </text>
    </comment>
    <comment ref="W7" authorId="0" shapeId="0" xr:uid="{00000000-0006-0000-0400-00000C000000}">
      <text>
        <r>
          <rPr>
            <sz val="8"/>
            <color indexed="81"/>
            <rFont val="Tahoma"/>
            <family val="2"/>
          </rPr>
          <t>Bracket Options include:
All other options;
Standard
Double
Link
Double Link</t>
        </r>
      </text>
    </comment>
    <comment ref="X7" authorId="0" shapeId="0" xr:uid="{00000000-0006-0000-0400-00000D000000}">
      <text>
        <r>
          <rPr>
            <sz val="8"/>
            <color indexed="81"/>
            <rFont val="Tahoma"/>
            <family val="2"/>
          </rPr>
          <t>If you want the Bracket option types 
and Tube size matched for continuity, 
then please specify which lines you 
want to match in the 
Special Comments section.</t>
        </r>
      </text>
    </comment>
    <comment ref="Z7" authorId="0" shapeId="0" xr:uid="{00000000-0006-0000-0400-00000E000000}">
      <text>
        <r>
          <rPr>
            <sz val="8"/>
            <color indexed="81"/>
            <rFont val="Tahoma"/>
            <family val="2"/>
          </rPr>
          <t>Please use this section 
to specify 
any Special Requirements
for the Line/Order.</t>
        </r>
      </text>
    </comment>
    <comment ref="D8" authorId="0" shapeId="0" xr:uid="{00000000-0006-0000-0400-00000F000000}">
      <text>
        <r>
          <rPr>
            <sz val="8"/>
            <color indexed="81"/>
            <rFont val="Tahoma"/>
            <family val="2"/>
          </rPr>
          <t>Products options are;
London
Maui
Paris
Sunscreen</t>
        </r>
      </text>
    </comment>
    <comment ref="E8" authorId="0" shapeId="0" xr:uid="{00000000-0006-0000-0400-000010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8" authorId="0" shapeId="0" xr:uid="{00000000-0006-0000-0400-000011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8" authorId="0" shapeId="0" xr:uid="{00000000-0006-0000-0400-000012000000}">
      <text>
        <r>
          <rPr>
            <sz val="8"/>
            <color indexed="81"/>
            <rFont val="Tahoma"/>
            <family val="2"/>
          </rPr>
          <t xml:space="preserve">Minimum Height/Drop is 300mm.
Maximum Height/Drop is 3000mm. </t>
        </r>
      </text>
    </comment>
    <comment ref="H8" authorId="0" shapeId="0" xr:uid="{00000000-0006-0000-0400-000013000000}">
      <text>
        <r>
          <rPr>
            <sz val="8"/>
            <color indexed="81"/>
            <rFont val="Tahoma"/>
            <family val="2"/>
          </rPr>
          <t>When selecting a
Corner or Bay 
Window Type, 
the 
CMB Corner WS 
or 
CMB Bay WS 
must be completed.</t>
        </r>
      </text>
    </comment>
    <comment ref="J8" authorId="0" shapeId="0" xr:uid="{00000000-0006-0000-0400-000014000000}">
      <text>
        <r>
          <rPr>
            <sz val="8"/>
            <color indexed="81"/>
            <rFont val="Tahoma"/>
            <family val="2"/>
          </rPr>
          <t>ACT 
Actual Measurements
You have made the allowances.
NAM
No Allowances Made 
The factory will make the deductions.</t>
        </r>
      </text>
    </comment>
    <comment ref="M8" authorId="0" shapeId="0" xr:uid="{00000000-0006-0000-0400-000015000000}">
      <text>
        <r>
          <rPr>
            <sz val="8"/>
            <color indexed="81"/>
            <rFont val="Tahoma"/>
            <family val="2"/>
          </rPr>
          <t xml:space="preserve">
Bottom Rail Colour options;
Clear Anodised
Metallic Black
Mocha
White
White Birch</t>
        </r>
      </text>
    </comment>
    <comment ref="O8" authorId="0" shapeId="0" xr:uid="{00000000-0006-0000-0400-000016000000}">
      <text>
        <r>
          <rPr>
            <sz val="8"/>
            <color indexed="81"/>
            <rFont val="Tahoma"/>
            <family val="2"/>
          </rPr>
          <t>Control Options are;
Left
Right
When Bracket Type is Link Together, 
Left or Right can only be selected once per Linked Set.</t>
        </r>
      </text>
    </comment>
    <comment ref="Q8" authorId="0" shapeId="0" xr:uid="{00000000-0006-0000-0400-000017000000}">
      <text>
        <r>
          <rPr>
            <sz val="8"/>
            <color indexed="81"/>
            <rFont val="Tahoma"/>
            <family val="2"/>
          </rPr>
          <t>Chain Length options are; 
Default
500mm
750mm
1000mm
1250mm
1500mm
2000mm</t>
        </r>
      </text>
    </comment>
    <comment ref="R8" authorId="0" shapeId="0" xr:uid="{00000000-0006-0000-0400-000018000000}">
      <text>
        <r>
          <rPr>
            <sz val="8"/>
            <color indexed="81"/>
            <rFont val="Tahoma"/>
            <family val="2"/>
          </rPr>
          <t>Chain Colour options are; 
White
White Birch
Black
Nickel Plated Brass
Stainless Steel</t>
        </r>
      </text>
    </comment>
    <comment ref="S8" authorId="0" shapeId="0" xr:uid="{00000000-0006-0000-0400-000019000000}">
      <text>
        <r>
          <rPr>
            <sz val="8"/>
            <color indexed="81"/>
            <rFont val="Tahoma"/>
            <family val="2"/>
          </rPr>
          <t>When
 Standard or Common 
is selected the 
Pelmet Colour 
must be entered.</t>
        </r>
      </text>
    </comment>
    <comment ref="W8" authorId="0" shapeId="0" xr:uid="{00000000-0006-0000-0400-00001A000000}">
      <text>
        <r>
          <rPr>
            <sz val="8"/>
            <color indexed="81"/>
            <rFont val="Tahoma"/>
            <family val="2"/>
          </rPr>
          <t>Bracket Options include:
All other options;
Standard
Double
Link
Double Link</t>
        </r>
      </text>
    </comment>
    <comment ref="X8" authorId="0" shapeId="0" xr:uid="{00000000-0006-0000-0400-00001B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9" authorId="0" shapeId="0" xr:uid="{00000000-0006-0000-0400-00001C000000}">
      <text>
        <r>
          <rPr>
            <sz val="8"/>
            <color indexed="81"/>
            <rFont val="Tahoma"/>
            <family val="2"/>
          </rPr>
          <t>Products options are;
London
Maui
Paris
Sunscreen</t>
        </r>
      </text>
    </comment>
    <comment ref="E9" authorId="0" shapeId="0" xr:uid="{00000000-0006-0000-0400-00001D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9" authorId="0" shapeId="0" xr:uid="{00000000-0006-0000-0400-00001E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9" authorId="0" shapeId="0" xr:uid="{00000000-0006-0000-0400-00001F000000}">
      <text>
        <r>
          <rPr>
            <sz val="8"/>
            <color indexed="81"/>
            <rFont val="Tahoma"/>
            <family val="2"/>
          </rPr>
          <t xml:space="preserve">Minimum Height/Drop is 300mm.
Maximum Height/Drop is 3000mm. </t>
        </r>
      </text>
    </comment>
    <comment ref="H9" authorId="0" shapeId="0" xr:uid="{00000000-0006-0000-0400-000020000000}">
      <text>
        <r>
          <rPr>
            <sz val="8"/>
            <color indexed="81"/>
            <rFont val="Tahoma"/>
            <family val="2"/>
          </rPr>
          <t>When selecting a
Corner or Bay 
Window Type, 
the 
CMB Corner WS 
or 
CMB Bay WS 
must be completed.</t>
        </r>
      </text>
    </comment>
    <comment ref="J9" authorId="0" shapeId="0" xr:uid="{00000000-0006-0000-0400-000021000000}">
      <text>
        <r>
          <rPr>
            <sz val="8"/>
            <color indexed="81"/>
            <rFont val="Tahoma"/>
            <family val="2"/>
          </rPr>
          <t>ACT 
Actual Measurements
You have made the allowances.
NAM
No Allowances Made 
The factory will make the deductions.</t>
        </r>
      </text>
    </comment>
    <comment ref="M9" authorId="0" shapeId="0" xr:uid="{00000000-0006-0000-0400-000022000000}">
      <text>
        <r>
          <rPr>
            <sz val="8"/>
            <color indexed="81"/>
            <rFont val="Tahoma"/>
            <family val="2"/>
          </rPr>
          <t xml:space="preserve">
Bottom Rail Colour options;
Clear Anodised
Metallic Black
Mocha
White
White Birch</t>
        </r>
      </text>
    </comment>
    <comment ref="O9" authorId="0" shapeId="0" xr:uid="{00000000-0006-0000-0400-000023000000}">
      <text>
        <r>
          <rPr>
            <sz val="8"/>
            <color indexed="81"/>
            <rFont val="Tahoma"/>
            <family val="2"/>
          </rPr>
          <t>Control Options are;
Left
Right
When Bracket Type is Link Together, 
Left or Right can only be selected once per Linked Set.</t>
        </r>
      </text>
    </comment>
    <comment ref="Q9" authorId="0" shapeId="0" xr:uid="{00000000-0006-0000-0400-000024000000}">
      <text>
        <r>
          <rPr>
            <sz val="8"/>
            <color indexed="81"/>
            <rFont val="Tahoma"/>
            <family val="2"/>
          </rPr>
          <t>Chain Length options are; 
Default
500mm
750mm
1000mm
1250mm
1500mm
2000mm</t>
        </r>
      </text>
    </comment>
    <comment ref="R9" authorId="0" shapeId="0" xr:uid="{00000000-0006-0000-0400-000025000000}">
      <text>
        <r>
          <rPr>
            <sz val="8"/>
            <color indexed="81"/>
            <rFont val="Tahoma"/>
            <family val="2"/>
          </rPr>
          <t>Chain Colour options are; 
White
White Birch
Black
Nickel Plated Brass
Stainless Steel</t>
        </r>
      </text>
    </comment>
    <comment ref="S9" authorId="0" shapeId="0" xr:uid="{00000000-0006-0000-0400-000026000000}">
      <text>
        <r>
          <rPr>
            <sz val="8"/>
            <color indexed="81"/>
            <rFont val="Tahoma"/>
            <family val="2"/>
          </rPr>
          <t>When
 Standard or Common 
is selected the 
Pelmet Colour 
must be entered.</t>
        </r>
      </text>
    </comment>
    <comment ref="W9" authorId="0" shapeId="0" xr:uid="{00000000-0006-0000-0400-000027000000}">
      <text>
        <r>
          <rPr>
            <sz val="8"/>
            <color indexed="81"/>
            <rFont val="Tahoma"/>
            <family val="2"/>
          </rPr>
          <t>Bracket Options include:
All other options;
Standard
Double
Link
Double Link</t>
        </r>
      </text>
    </comment>
    <comment ref="X9" authorId="0" shapeId="0" xr:uid="{00000000-0006-0000-0400-000028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0" authorId="0" shapeId="0" xr:uid="{00000000-0006-0000-0400-000029000000}">
      <text>
        <r>
          <rPr>
            <sz val="8"/>
            <color indexed="81"/>
            <rFont val="Tahoma"/>
            <family val="2"/>
          </rPr>
          <t>Products options are;
London
Maui
Paris
Sunscreen</t>
        </r>
      </text>
    </comment>
    <comment ref="E10" authorId="0" shapeId="0" xr:uid="{00000000-0006-0000-0400-00002A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0" authorId="0" shapeId="0" xr:uid="{00000000-0006-0000-0400-00002B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0" authorId="0" shapeId="0" xr:uid="{00000000-0006-0000-0400-00002C000000}">
      <text>
        <r>
          <rPr>
            <sz val="8"/>
            <color indexed="81"/>
            <rFont val="Tahoma"/>
            <family val="2"/>
          </rPr>
          <t xml:space="preserve">Minimum Height/Drop is 300mm.
Maximum Height/Drop is 3000mm. </t>
        </r>
      </text>
    </comment>
    <comment ref="H10" authorId="0" shapeId="0" xr:uid="{00000000-0006-0000-0400-00002D000000}">
      <text>
        <r>
          <rPr>
            <sz val="8"/>
            <color indexed="81"/>
            <rFont val="Tahoma"/>
            <family val="2"/>
          </rPr>
          <t>When selecting a
Corner or Bay 
Window Type, 
the 
CMB Corner WS 
or 
CMB Bay WS 
must be completed.</t>
        </r>
      </text>
    </comment>
    <comment ref="J10" authorId="0" shapeId="0" xr:uid="{00000000-0006-0000-0400-00002E000000}">
      <text>
        <r>
          <rPr>
            <sz val="8"/>
            <color indexed="81"/>
            <rFont val="Tahoma"/>
            <family val="2"/>
          </rPr>
          <t>ACT 
Actual Measurements
You have made the allowances.
NAM
No Allowances Made 
The factory will make the deductions.</t>
        </r>
      </text>
    </comment>
    <comment ref="M10" authorId="0" shapeId="0" xr:uid="{00000000-0006-0000-0400-00002F000000}">
      <text>
        <r>
          <rPr>
            <sz val="8"/>
            <color indexed="81"/>
            <rFont val="Tahoma"/>
            <family val="2"/>
          </rPr>
          <t xml:space="preserve">
Bottom Rail Colour options;
Clear Anodised
Metallic Black
Mocha
White
White Birch</t>
        </r>
      </text>
    </comment>
    <comment ref="O10" authorId="0" shapeId="0" xr:uid="{00000000-0006-0000-0400-000030000000}">
      <text>
        <r>
          <rPr>
            <sz val="8"/>
            <color indexed="81"/>
            <rFont val="Tahoma"/>
            <family val="2"/>
          </rPr>
          <t>Control Options are;
Left
Right
When Bracket Type is Link Together, 
Left or Right can only be selected once per Linked Set.</t>
        </r>
      </text>
    </comment>
    <comment ref="Q10" authorId="0" shapeId="0" xr:uid="{00000000-0006-0000-0400-000031000000}">
      <text>
        <r>
          <rPr>
            <sz val="8"/>
            <color indexed="81"/>
            <rFont val="Tahoma"/>
            <family val="2"/>
          </rPr>
          <t>Chain Length options are; 
Default
500mm
750mm
1000mm
1250mm
1500mm
2000mm</t>
        </r>
      </text>
    </comment>
    <comment ref="R10" authorId="0" shapeId="0" xr:uid="{00000000-0006-0000-0400-000032000000}">
      <text>
        <r>
          <rPr>
            <sz val="8"/>
            <color indexed="81"/>
            <rFont val="Tahoma"/>
            <family val="2"/>
          </rPr>
          <t>Chain Colour options are; 
White
White Birch
Black
Nickel Plated Brass
Stainless Steel</t>
        </r>
      </text>
    </comment>
    <comment ref="S10" authorId="0" shapeId="0" xr:uid="{00000000-0006-0000-0400-000033000000}">
      <text>
        <r>
          <rPr>
            <sz val="8"/>
            <color indexed="81"/>
            <rFont val="Tahoma"/>
            <family val="2"/>
          </rPr>
          <t>When
 Standard or Common 
is selected the 
Pelmet Colour 
must be entered.</t>
        </r>
      </text>
    </comment>
    <comment ref="W10" authorId="0" shapeId="0" xr:uid="{00000000-0006-0000-0400-000034000000}">
      <text>
        <r>
          <rPr>
            <sz val="8"/>
            <color indexed="81"/>
            <rFont val="Tahoma"/>
            <family val="2"/>
          </rPr>
          <t>Bracket Options include:
All other options;
Standard
Double
Link
Double Link</t>
        </r>
      </text>
    </comment>
    <comment ref="X10" authorId="0" shapeId="0" xr:uid="{00000000-0006-0000-0400-000035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1" authorId="0" shapeId="0" xr:uid="{00000000-0006-0000-0400-000036000000}">
      <text>
        <r>
          <rPr>
            <sz val="8"/>
            <color indexed="81"/>
            <rFont val="Tahoma"/>
            <family val="2"/>
          </rPr>
          <t>Products options are;
London
Maui
Paris
Sunscreen</t>
        </r>
      </text>
    </comment>
    <comment ref="E11" authorId="0" shapeId="0" xr:uid="{00000000-0006-0000-0400-000037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1" authorId="0" shapeId="0" xr:uid="{00000000-0006-0000-0400-000038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1" authorId="0" shapeId="0" xr:uid="{00000000-0006-0000-0400-000039000000}">
      <text>
        <r>
          <rPr>
            <sz val="8"/>
            <color indexed="81"/>
            <rFont val="Tahoma"/>
            <family val="2"/>
          </rPr>
          <t xml:space="preserve">Minimum Height/Drop is 300mm.
Maximum Height/Drop is 3000mm. </t>
        </r>
      </text>
    </comment>
    <comment ref="H11" authorId="0" shapeId="0" xr:uid="{00000000-0006-0000-0400-00003A000000}">
      <text>
        <r>
          <rPr>
            <sz val="8"/>
            <color indexed="81"/>
            <rFont val="Tahoma"/>
            <family val="2"/>
          </rPr>
          <t>When selecting a
Corner or Bay 
Window Type, 
the 
CMB Corner WS 
or 
CMB Bay WS 
must be completed.</t>
        </r>
      </text>
    </comment>
    <comment ref="J11" authorId="0" shapeId="0" xr:uid="{00000000-0006-0000-0400-00003B000000}">
      <text>
        <r>
          <rPr>
            <sz val="8"/>
            <color indexed="81"/>
            <rFont val="Tahoma"/>
            <family val="2"/>
          </rPr>
          <t>ACT 
Actual Measurements
You have made the allowances.
NAM
No Allowances Made 
The factory will make the deductions.</t>
        </r>
      </text>
    </comment>
    <comment ref="M11" authorId="0" shapeId="0" xr:uid="{00000000-0006-0000-0400-00003C000000}">
      <text>
        <r>
          <rPr>
            <sz val="8"/>
            <color indexed="81"/>
            <rFont val="Tahoma"/>
            <family val="2"/>
          </rPr>
          <t xml:space="preserve">
Bottom Rail Colour options;
Clear Anodised
Metallic Black
Mocha
White
White Birch</t>
        </r>
      </text>
    </comment>
    <comment ref="O11" authorId="0" shapeId="0" xr:uid="{00000000-0006-0000-0400-00003D000000}">
      <text>
        <r>
          <rPr>
            <sz val="8"/>
            <color indexed="81"/>
            <rFont val="Tahoma"/>
            <family val="2"/>
          </rPr>
          <t>Control Options are;
Left
Right
When Bracket Type is Link Together, 
Left or Right can only be selected once per Linked Set.</t>
        </r>
      </text>
    </comment>
    <comment ref="Q11" authorId="0" shapeId="0" xr:uid="{00000000-0006-0000-0400-00003E000000}">
      <text>
        <r>
          <rPr>
            <sz val="8"/>
            <color indexed="81"/>
            <rFont val="Tahoma"/>
            <family val="2"/>
          </rPr>
          <t>Chain Length options are; 
Default
500mm
750mm
1000mm
1250mm
1500mm
2000mm</t>
        </r>
      </text>
    </comment>
    <comment ref="R11" authorId="0" shapeId="0" xr:uid="{00000000-0006-0000-0400-00003F000000}">
      <text>
        <r>
          <rPr>
            <sz val="8"/>
            <color indexed="81"/>
            <rFont val="Tahoma"/>
            <family val="2"/>
          </rPr>
          <t>Chain Colour options are; 
White
White Birch
Black
Nickel Plated Brass
Stainless Steel</t>
        </r>
      </text>
    </comment>
    <comment ref="S11" authorId="0" shapeId="0" xr:uid="{00000000-0006-0000-0400-000040000000}">
      <text>
        <r>
          <rPr>
            <sz val="8"/>
            <color indexed="81"/>
            <rFont val="Tahoma"/>
            <family val="2"/>
          </rPr>
          <t>When
 Standard or Common 
is selected the 
Pelmet Colour 
must be entered.</t>
        </r>
      </text>
    </comment>
    <comment ref="W11" authorId="0" shapeId="0" xr:uid="{00000000-0006-0000-0400-000041000000}">
      <text>
        <r>
          <rPr>
            <sz val="8"/>
            <color indexed="81"/>
            <rFont val="Tahoma"/>
            <family val="2"/>
          </rPr>
          <t>Bracket Options include:
All other options;
Standard
Double
Link
Double Link</t>
        </r>
      </text>
    </comment>
    <comment ref="X11" authorId="0" shapeId="0" xr:uid="{00000000-0006-0000-0400-000042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2" authorId="0" shapeId="0" xr:uid="{00000000-0006-0000-0400-000043000000}">
      <text>
        <r>
          <rPr>
            <sz val="8"/>
            <color indexed="81"/>
            <rFont val="Tahoma"/>
            <family val="2"/>
          </rPr>
          <t>Products options are;
London
Maui
Paris
Sunscreen</t>
        </r>
      </text>
    </comment>
    <comment ref="E12" authorId="0" shapeId="0" xr:uid="{00000000-0006-0000-0400-000044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2" authorId="0" shapeId="0" xr:uid="{00000000-0006-0000-0400-000045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2" authorId="0" shapeId="0" xr:uid="{00000000-0006-0000-0400-000046000000}">
      <text>
        <r>
          <rPr>
            <sz val="8"/>
            <color indexed="81"/>
            <rFont val="Tahoma"/>
            <family val="2"/>
          </rPr>
          <t xml:space="preserve">Minimum Height/Drop is 300mm.
Maximum Height/Drop is 3000mm. </t>
        </r>
      </text>
    </comment>
    <comment ref="H12" authorId="0" shapeId="0" xr:uid="{00000000-0006-0000-0400-000047000000}">
      <text>
        <r>
          <rPr>
            <sz val="8"/>
            <color indexed="81"/>
            <rFont val="Tahoma"/>
            <family val="2"/>
          </rPr>
          <t>When selecting a
Corner or Bay 
Window Type, 
the 
CMB Corner WS 
or 
CMB Bay WS 
must be completed.</t>
        </r>
      </text>
    </comment>
    <comment ref="J12" authorId="0" shapeId="0" xr:uid="{00000000-0006-0000-0400-000048000000}">
      <text>
        <r>
          <rPr>
            <sz val="8"/>
            <color indexed="81"/>
            <rFont val="Tahoma"/>
            <family val="2"/>
          </rPr>
          <t>ACT 
Actual Measurements
You have made the allowances.
NAM
No Allowances Made 
The factory will make the deductions.</t>
        </r>
      </text>
    </comment>
    <comment ref="M12" authorId="0" shapeId="0" xr:uid="{00000000-0006-0000-0400-000049000000}">
      <text>
        <r>
          <rPr>
            <sz val="8"/>
            <color indexed="81"/>
            <rFont val="Tahoma"/>
            <family val="2"/>
          </rPr>
          <t xml:space="preserve">
Bottom Rail Colour options;
Clear Anodised
Metallic Black
Mocha
White
White Birch</t>
        </r>
      </text>
    </comment>
    <comment ref="O12" authorId="0" shapeId="0" xr:uid="{00000000-0006-0000-0400-00004A000000}">
      <text>
        <r>
          <rPr>
            <sz val="8"/>
            <color indexed="81"/>
            <rFont val="Tahoma"/>
            <family val="2"/>
          </rPr>
          <t>Control Options are;
Left
Right
When Bracket Type is Link Together, 
Left or Right can only be selected once per Linked Set.</t>
        </r>
      </text>
    </comment>
    <comment ref="Q12" authorId="0" shapeId="0" xr:uid="{00000000-0006-0000-0400-00004B000000}">
      <text>
        <r>
          <rPr>
            <sz val="8"/>
            <color indexed="81"/>
            <rFont val="Tahoma"/>
            <family val="2"/>
          </rPr>
          <t>Chain Length options are; 
Default
500mm
750mm
1000mm
1250mm
1500mm
2000mm</t>
        </r>
      </text>
    </comment>
    <comment ref="R12" authorId="0" shapeId="0" xr:uid="{00000000-0006-0000-0400-00004C000000}">
      <text>
        <r>
          <rPr>
            <sz val="8"/>
            <color indexed="81"/>
            <rFont val="Tahoma"/>
            <family val="2"/>
          </rPr>
          <t>Chain Colour options are; 
White
White Birch
Black
Nickel Plated Brass
Stainless Steel</t>
        </r>
      </text>
    </comment>
    <comment ref="S12" authorId="0" shapeId="0" xr:uid="{00000000-0006-0000-0400-00004D000000}">
      <text>
        <r>
          <rPr>
            <sz val="8"/>
            <color indexed="81"/>
            <rFont val="Tahoma"/>
            <family val="2"/>
          </rPr>
          <t>When
 Standard or Common 
is selected the 
Pelmet Colour 
must be entered.</t>
        </r>
      </text>
    </comment>
    <comment ref="W12" authorId="0" shapeId="0" xr:uid="{00000000-0006-0000-0400-00004E000000}">
      <text>
        <r>
          <rPr>
            <sz val="8"/>
            <color indexed="81"/>
            <rFont val="Tahoma"/>
            <family val="2"/>
          </rPr>
          <t>Bracket Options include:
All other options;
Standard
Double
Link
Double Link</t>
        </r>
      </text>
    </comment>
    <comment ref="X12" authorId="0" shapeId="0" xr:uid="{00000000-0006-0000-0400-00004F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3" authorId="0" shapeId="0" xr:uid="{00000000-0006-0000-0400-000050000000}">
      <text>
        <r>
          <rPr>
            <sz val="8"/>
            <color indexed="81"/>
            <rFont val="Tahoma"/>
            <family val="2"/>
          </rPr>
          <t>Products options are;
London
Maui
Paris
Sunscreen</t>
        </r>
      </text>
    </comment>
    <comment ref="E13" authorId="0" shapeId="0" xr:uid="{00000000-0006-0000-0400-000051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3" authorId="0" shapeId="0" xr:uid="{00000000-0006-0000-0400-000052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3" authorId="0" shapeId="0" xr:uid="{00000000-0006-0000-0400-000053000000}">
      <text>
        <r>
          <rPr>
            <sz val="8"/>
            <color indexed="81"/>
            <rFont val="Tahoma"/>
            <family val="2"/>
          </rPr>
          <t xml:space="preserve">Minimum Height/Drop is 300mm.
Maximum Height/Drop is 3000mm. </t>
        </r>
      </text>
    </comment>
    <comment ref="H13" authorId="0" shapeId="0" xr:uid="{00000000-0006-0000-0400-000054000000}">
      <text>
        <r>
          <rPr>
            <sz val="8"/>
            <color indexed="81"/>
            <rFont val="Tahoma"/>
            <family val="2"/>
          </rPr>
          <t>When selecting a
Corner or Bay 
Window Type, 
the 
CMB Corner WS 
or 
CMB Bay WS 
must be completed.</t>
        </r>
      </text>
    </comment>
    <comment ref="J13" authorId="0" shapeId="0" xr:uid="{00000000-0006-0000-0400-000055000000}">
      <text>
        <r>
          <rPr>
            <sz val="8"/>
            <color indexed="81"/>
            <rFont val="Tahoma"/>
            <family val="2"/>
          </rPr>
          <t>ACT 
Actual Measurements
You have made the allowances.
NAM
No Allowances Made 
The factory will make the deductions.</t>
        </r>
      </text>
    </comment>
    <comment ref="M13" authorId="0" shapeId="0" xr:uid="{00000000-0006-0000-0400-000056000000}">
      <text>
        <r>
          <rPr>
            <sz val="8"/>
            <color indexed="81"/>
            <rFont val="Tahoma"/>
            <family val="2"/>
          </rPr>
          <t xml:space="preserve">
Bottom Rail Colour options;
Clear Anodised
Metallic Black
Mocha
White
White Birch</t>
        </r>
      </text>
    </comment>
    <comment ref="O13" authorId="0" shapeId="0" xr:uid="{00000000-0006-0000-0400-000057000000}">
      <text>
        <r>
          <rPr>
            <sz val="8"/>
            <color indexed="81"/>
            <rFont val="Tahoma"/>
            <family val="2"/>
          </rPr>
          <t>Control Options are;
Left
Right
When Bracket Type is Link Together, 
Left or Right can only be selected once per Linked Set.</t>
        </r>
      </text>
    </comment>
    <comment ref="Q13" authorId="0" shapeId="0" xr:uid="{00000000-0006-0000-0400-000058000000}">
      <text>
        <r>
          <rPr>
            <sz val="8"/>
            <color indexed="81"/>
            <rFont val="Tahoma"/>
            <family val="2"/>
          </rPr>
          <t>Chain Length options are; 
Default
500mm
750mm
1000mm
1250mm
1500mm
2000mm</t>
        </r>
      </text>
    </comment>
    <comment ref="R13" authorId="0" shapeId="0" xr:uid="{00000000-0006-0000-0400-000059000000}">
      <text>
        <r>
          <rPr>
            <sz val="8"/>
            <color indexed="81"/>
            <rFont val="Tahoma"/>
            <family val="2"/>
          </rPr>
          <t>Chain Colour options are; 
White
White Birch
Black
Nickel Plated Brass
Stainless Steel</t>
        </r>
      </text>
    </comment>
    <comment ref="S13" authorId="0" shapeId="0" xr:uid="{00000000-0006-0000-0400-00005A000000}">
      <text>
        <r>
          <rPr>
            <sz val="8"/>
            <color indexed="81"/>
            <rFont val="Tahoma"/>
            <family val="2"/>
          </rPr>
          <t>When
 Standard or Common 
is selected the 
Pelmet Colour 
must be entered.</t>
        </r>
      </text>
    </comment>
    <comment ref="W13" authorId="0" shapeId="0" xr:uid="{00000000-0006-0000-0400-00005B000000}">
      <text>
        <r>
          <rPr>
            <sz val="8"/>
            <color indexed="81"/>
            <rFont val="Tahoma"/>
            <family val="2"/>
          </rPr>
          <t>Bracket Options include:
All other options;
Standard
Double
Link
Double Link</t>
        </r>
      </text>
    </comment>
    <comment ref="X13" authorId="0" shapeId="0" xr:uid="{00000000-0006-0000-0400-00005C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4" authorId="0" shapeId="0" xr:uid="{00000000-0006-0000-0400-00005D000000}">
      <text>
        <r>
          <rPr>
            <sz val="8"/>
            <color indexed="81"/>
            <rFont val="Tahoma"/>
            <family val="2"/>
          </rPr>
          <t>Products options are;
London
Maui
Paris
Sunscreen</t>
        </r>
      </text>
    </comment>
    <comment ref="E14" authorId="0" shapeId="0" xr:uid="{00000000-0006-0000-0400-00005E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4" authorId="0" shapeId="0" xr:uid="{00000000-0006-0000-0400-00005F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4" authorId="0" shapeId="0" xr:uid="{00000000-0006-0000-0400-000060000000}">
      <text>
        <r>
          <rPr>
            <sz val="8"/>
            <color indexed="81"/>
            <rFont val="Tahoma"/>
            <family val="2"/>
          </rPr>
          <t xml:space="preserve">Minimum Height/Drop is 300mm.
Maximum Height/Drop is 3000mm. </t>
        </r>
      </text>
    </comment>
    <comment ref="H14" authorId="0" shapeId="0" xr:uid="{00000000-0006-0000-0400-000061000000}">
      <text>
        <r>
          <rPr>
            <sz val="8"/>
            <color indexed="81"/>
            <rFont val="Tahoma"/>
            <family val="2"/>
          </rPr>
          <t>When selecting a
Corner or Bay 
Window Type, 
the 
CMB Corner WS 
or 
CMB Bay WS 
must be completed.</t>
        </r>
      </text>
    </comment>
    <comment ref="J14" authorId="0" shapeId="0" xr:uid="{00000000-0006-0000-0400-000062000000}">
      <text>
        <r>
          <rPr>
            <sz val="8"/>
            <color indexed="81"/>
            <rFont val="Tahoma"/>
            <family val="2"/>
          </rPr>
          <t>ACT 
Actual Measurements
You have made the allowances.
NAM
No Allowances Made 
The factory will make the deductions.</t>
        </r>
      </text>
    </comment>
    <comment ref="M14" authorId="0" shapeId="0" xr:uid="{00000000-0006-0000-0400-000063000000}">
      <text>
        <r>
          <rPr>
            <sz val="8"/>
            <color indexed="81"/>
            <rFont val="Tahoma"/>
            <family val="2"/>
          </rPr>
          <t xml:space="preserve">
Bottom Rail Colour options;
Clear Anodised
Metallic Black
Mocha
White
White Birch</t>
        </r>
      </text>
    </comment>
    <comment ref="O14" authorId="0" shapeId="0" xr:uid="{00000000-0006-0000-0400-000064000000}">
      <text>
        <r>
          <rPr>
            <sz val="8"/>
            <color indexed="81"/>
            <rFont val="Tahoma"/>
            <family val="2"/>
          </rPr>
          <t>Control Options are;
Left
Right
When Bracket Type is Link Together, 
Left or Right can only be selected once per Linked Set.</t>
        </r>
      </text>
    </comment>
    <comment ref="Q14" authorId="0" shapeId="0" xr:uid="{00000000-0006-0000-0400-000065000000}">
      <text>
        <r>
          <rPr>
            <sz val="8"/>
            <color indexed="81"/>
            <rFont val="Tahoma"/>
            <family val="2"/>
          </rPr>
          <t>Chain Length options are; 
Default
500mm
750mm
1000mm
1250mm
1500mm
2000mm</t>
        </r>
      </text>
    </comment>
    <comment ref="R14" authorId="0" shapeId="0" xr:uid="{00000000-0006-0000-0400-000066000000}">
      <text>
        <r>
          <rPr>
            <sz val="8"/>
            <color indexed="81"/>
            <rFont val="Tahoma"/>
            <family val="2"/>
          </rPr>
          <t>Chain Colour options are; 
White
White Birch
Black
Nickel Plated Brass
Stainless Steel</t>
        </r>
      </text>
    </comment>
    <comment ref="S14" authorId="0" shapeId="0" xr:uid="{00000000-0006-0000-0400-000067000000}">
      <text>
        <r>
          <rPr>
            <sz val="8"/>
            <color indexed="81"/>
            <rFont val="Tahoma"/>
            <family val="2"/>
          </rPr>
          <t>When
 Standard or Common 
is selected the 
Pelmet Colour 
must be entered.</t>
        </r>
      </text>
    </comment>
    <comment ref="W14" authorId="0" shapeId="0" xr:uid="{00000000-0006-0000-0400-000068000000}">
      <text>
        <r>
          <rPr>
            <sz val="8"/>
            <color indexed="81"/>
            <rFont val="Tahoma"/>
            <family val="2"/>
          </rPr>
          <t>Bracket Options include:
All other options;
Standard
Double
Link
Double Link</t>
        </r>
      </text>
    </comment>
    <comment ref="X14" authorId="0" shapeId="0" xr:uid="{00000000-0006-0000-0400-000069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5" authorId="0" shapeId="0" xr:uid="{00000000-0006-0000-0400-00006A000000}">
      <text>
        <r>
          <rPr>
            <sz val="8"/>
            <color indexed="81"/>
            <rFont val="Tahoma"/>
            <family val="2"/>
          </rPr>
          <t>Products options are;
London
Maui
Paris
Sunscreen</t>
        </r>
      </text>
    </comment>
    <comment ref="E15" authorId="0" shapeId="0" xr:uid="{00000000-0006-0000-0400-00006B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5" authorId="0" shapeId="0" xr:uid="{00000000-0006-0000-0400-00006C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5" authorId="0" shapeId="0" xr:uid="{00000000-0006-0000-0400-00006D000000}">
      <text>
        <r>
          <rPr>
            <sz val="8"/>
            <color indexed="81"/>
            <rFont val="Tahoma"/>
            <family val="2"/>
          </rPr>
          <t xml:space="preserve">Minimum Height/Drop is 300mm.
Maximum Height/Drop is 3000mm. </t>
        </r>
      </text>
    </comment>
    <comment ref="H15" authorId="0" shapeId="0" xr:uid="{00000000-0006-0000-0400-00006E000000}">
      <text>
        <r>
          <rPr>
            <sz val="8"/>
            <color indexed="81"/>
            <rFont val="Tahoma"/>
            <family val="2"/>
          </rPr>
          <t>When selecting a
Corner or Bay 
Window Type, 
the 
CMB Corner WS 
or 
CMB Bay WS 
must be completed.</t>
        </r>
      </text>
    </comment>
    <comment ref="J15" authorId="0" shapeId="0" xr:uid="{00000000-0006-0000-0400-00006F000000}">
      <text>
        <r>
          <rPr>
            <sz val="8"/>
            <color indexed="81"/>
            <rFont val="Tahoma"/>
            <family val="2"/>
          </rPr>
          <t>ACT 
Actual Measurements
You have made the allowances.
NAM
No Allowances Made 
The factory will make the deductions.</t>
        </r>
      </text>
    </comment>
    <comment ref="M15" authorId="0" shapeId="0" xr:uid="{00000000-0006-0000-0400-000070000000}">
      <text>
        <r>
          <rPr>
            <sz val="8"/>
            <color indexed="81"/>
            <rFont val="Tahoma"/>
            <family val="2"/>
          </rPr>
          <t xml:space="preserve">
Bottom Rail Colour options;
Clear Anodised
Metallic Black
Mocha
White
White Birch</t>
        </r>
      </text>
    </comment>
    <comment ref="O15" authorId="0" shapeId="0" xr:uid="{00000000-0006-0000-0400-000071000000}">
      <text>
        <r>
          <rPr>
            <sz val="8"/>
            <color indexed="81"/>
            <rFont val="Tahoma"/>
            <family val="2"/>
          </rPr>
          <t>Control Options are;
Left
Right
When Bracket Type is Link Together, 
Left or Right can only be selected once per Linked Set.</t>
        </r>
      </text>
    </comment>
    <comment ref="Q15" authorId="0" shapeId="0" xr:uid="{00000000-0006-0000-0400-000072000000}">
      <text>
        <r>
          <rPr>
            <sz val="8"/>
            <color indexed="81"/>
            <rFont val="Tahoma"/>
            <family val="2"/>
          </rPr>
          <t>Chain Length options are; 
Default
500mm
750mm
1000mm
1250mm
1500mm
2000mm</t>
        </r>
      </text>
    </comment>
    <comment ref="R15" authorId="0" shapeId="0" xr:uid="{00000000-0006-0000-0400-000073000000}">
      <text>
        <r>
          <rPr>
            <sz val="8"/>
            <color indexed="81"/>
            <rFont val="Tahoma"/>
            <family val="2"/>
          </rPr>
          <t>Chain Colour options are; 
White
White Birch
Black
Nickel Plated Brass
Stainless Steel</t>
        </r>
      </text>
    </comment>
    <comment ref="S15" authorId="0" shapeId="0" xr:uid="{00000000-0006-0000-0400-000074000000}">
      <text>
        <r>
          <rPr>
            <sz val="8"/>
            <color indexed="81"/>
            <rFont val="Tahoma"/>
            <family val="2"/>
          </rPr>
          <t>When
 Standard or Common 
is selected the 
Pelmet Colour 
must be entered.</t>
        </r>
      </text>
    </comment>
    <comment ref="W15" authorId="0" shapeId="0" xr:uid="{00000000-0006-0000-0400-000075000000}">
      <text>
        <r>
          <rPr>
            <sz val="8"/>
            <color indexed="81"/>
            <rFont val="Tahoma"/>
            <family val="2"/>
          </rPr>
          <t>Bracket Options include:
All other options;
Standard
Double
Link
Double Link</t>
        </r>
      </text>
    </comment>
    <comment ref="X15" authorId="0" shapeId="0" xr:uid="{00000000-0006-0000-0400-000076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6" authorId="0" shapeId="0" xr:uid="{00000000-0006-0000-0400-000077000000}">
      <text>
        <r>
          <rPr>
            <sz val="8"/>
            <color indexed="81"/>
            <rFont val="Tahoma"/>
            <family val="2"/>
          </rPr>
          <t>Products options are;
London
Maui
Paris
Sunscreen</t>
        </r>
      </text>
    </comment>
    <comment ref="E16" authorId="0" shapeId="0" xr:uid="{00000000-0006-0000-0400-000078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6" authorId="0" shapeId="0" xr:uid="{00000000-0006-0000-0400-000079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6" authorId="0" shapeId="0" xr:uid="{00000000-0006-0000-0400-00007A000000}">
      <text>
        <r>
          <rPr>
            <sz val="8"/>
            <color indexed="81"/>
            <rFont val="Tahoma"/>
            <family val="2"/>
          </rPr>
          <t xml:space="preserve">Minimum Height/Drop is 300mm.
Maximum Height/Drop is 3000mm. </t>
        </r>
      </text>
    </comment>
    <comment ref="H16" authorId="0" shapeId="0" xr:uid="{00000000-0006-0000-0400-00007B000000}">
      <text>
        <r>
          <rPr>
            <sz val="8"/>
            <color indexed="81"/>
            <rFont val="Tahoma"/>
            <family val="2"/>
          </rPr>
          <t>When selecting a
Corner or Bay 
Window Type, 
the 
CMB Corner WS 
or 
CMB Bay WS 
must be completed.</t>
        </r>
      </text>
    </comment>
    <comment ref="J16" authorId="0" shapeId="0" xr:uid="{00000000-0006-0000-0400-00007C000000}">
      <text>
        <r>
          <rPr>
            <sz val="8"/>
            <color indexed="81"/>
            <rFont val="Tahoma"/>
            <family val="2"/>
          </rPr>
          <t>ACT 
Actual Measurements
You have made the allowances.
NAM
No Allowances Made 
The factory will make the deductions.</t>
        </r>
      </text>
    </comment>
    <comment ref="M16" authorId="0" shapeId="0" xr:uid="{00000000-0006-0000-0400-00007D000000}">
      <text>
        <r>
          <rPr>
            <sz val="8"/>
            <color indexed="81"/>
            <rFont val="Tahoma"/>
            <family val="2"/>
          </rPr>
          <t xml:space="preserve">
Bottom Rail Colour options;
Clear Anodised
Metallic Black
Mocha
White
White Birch</t>
        </r>
      </text>
    </comment>
    <comment ref="O16" authorId="0" shapeId="0" xr:uid="{00000000-0006-0000-0400-00007E000000}">
      <text>
        <r>
          <rPr>
            <sz val="8"/>
            <color indexed="81"/>
            <rFont val="Tahoma"/>
            <family val="2"/>
          </rPr>
          <t>Control Options are;
Left
Right
When Bracket Type is Link Together, 
Left or Right can only be selected once per Linked Set.</t>
        </r>
      </text>
    </comment>
    <comment ref="Q16" authorId="0" shapeId="0" xr:uid="{00000000-0006-0000-0400-00007F000000}">
      <text>
        <r>
          <rPr>
            <sz val="8"/>
            <color indexed="81"/>
            <rFont val="Tahoma"/>
            <family val="2"/>
          </rPr>
          <t>Chain Length options are; 
Default
500mm
750mm
1000mm
1250mm
1500mm
2000mm</t>
        </r>
      </text>
    </comment>
    <comment ref="R16" authorId="0" shapeId="0" xr:uid="{00000000-0006-0000-0400-000080000000}">
      <text>
        <r>
          <rPr>
            <sz val="8"/>
            <color indexed="81"/>
            <rFont val="Tahoma"/>
            <family val="2"/>
          </rPr>
          <t>Chain Colour options are; 
White
White Birch
Black
Nickel Plated Brass
Stainless Steel</t>
        </r>
      </text>
    </comment>
    <comment ref="S16" authorId="0" shapeId="0" xr:uid="{00000000-0006-0000-0400-000081000000}">
      <text>
        <r>
          <rPr>
            <sz val="8"/>
            <color indexed="81"/>
            <rFont val="Tahoma"/>
            <family val="2"/>
          </rPr>
          <t>When
 Standard or Common 
is selected the 
Pelmet Colour 
must be entered.</t>
        </r>
      </text>
    </comment>
    <comment ref="W16" authorId="0" shapeId="0" xr:uid="{00000000-0006-0000-0400-000082000000}">
      <text>
        <r>
          <rPr>
            <sz val="8"/>
            <color indexed="81"/>
            <rFont val="Tahoma"/>
            <family val="2"/>
          </rPr>
          <t>Bracket Options include:
All other options;
Standard
Double
Link
Double Link</t>
        </r>
      </text>
    </comment>
    <comment ref="X16" authorId="0" shapeId="0" xr:uid="{00000000-0006-0000-0400-000083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7" authorId="0" shapeId="0" xr:uid="{00000000-0006-0000-0400-000084000000}">
      <text>
        <r>
          <rPr>
            <sz val="8"/>
            <color indexed="81"/>
            <rFont val="Tahoma"/>
            <family val="2"/>
          </rPr>
          <t>Products options are;
London
Maui
Paris
Sunscreen</t>
        </r>
      </text>
    </comment>
    <comment ref="E17" authorId="0" shapeId="0" xr:uid="{00000000-0006-0000-0400-000085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7" authorId="0" shapeId="0" xr:uid="{00000000-0006-0000-0400-000086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7" authorId="0" shapeId="0" xr:uid="{00000000-0006-0000-0400-000087000000}">
      <text>
        <r>
          <rPr>
            <sz val="8"/>
            <color indexed="81"/>
            <rFont val="Tahoma"/>
            <family val="2"/>
          </rPr>
          <t xml:space="preserve">Minimum Height/Drop is 300mm.
Maximum Height/Drop is 3000mm. </t>
        </r>
      </text>
    </comment>
    <comment ref="H17" authorId="0" shapeId="0" xr:uid="{00000000-0006-0000-0400-000088000000}">
      <text>
        <r>
          <rPr>
            <sz val="8"/>
            <color indexed="81"/>
            <rFont val="Tahoma"/>
            <family val="2"/>
          </rPr>
          <t>When selecting a
Corner or Bay 
Window Type, 
the 
CMB Corner WS 
or 
CMB Bay WS 
must be completed.</t>
        </r>
      </text>
    </comment>
    <comment ref="J17" authorId="0" shapeId="0" xr:uid="{00000000-0006-0000-0400-000089000000}">
      <text>
        <r>
          <rPr>
            <sz val="8"/>
            <color indexed="81"/>
            <rFont val="Tahoma"/>
            <family val="2"/>
          </rPr>
          <t>ACT 
Actual Measurements
You have made the allowances.
NAM
No Allowances Made 
The factory will make the deductions.</t>
        </r>
      </text>
    </comment>
    <comment ref="M17" authorId="0" shapeId="0" xr:uid="{00000000-0006-0000-0400-00008A000000}">
      <text>
        <r>
          <rPr>
            <sz val="8"/>
            <color indexed="81"/>
            <rFont val="Tahoma"/>
            <family val="2"/>
          </rPr>
          <t xml:space="preserve">
Bottom Rail Colour options;
Clear Anodised
Metallic Black
Mocha
White
White Birch</t>
        </r>
      </text>
    </comment>
    <comment ref="O17" authorId="0" shapeId="0" xr:uid="{00000000-0006-0000-0400-00008B000000}">
      <text>
        <r>
          <rPr>
            <sz val="8"/>
            <color indexed="81"/>
            <rFont val="Tahoma"/>
            <family val="2"/>
          </rPr>
          <t>Control Options are;
Left
Right
When Bracket Type is Link Together, 
Left or Right can only be selected once per Linked Set.</t>
        </r>
      </text>
    </comment>
    <comment ref="Q17" authorId="0" shapeId="0" xr:uid="{00000000-0006-0000-0400-00008C000000}">
      <text>
        <r>
          <rPr>
            <sz val="8"/>
            <color indexed="81"/>
            <rFont val="Tahoma"/>
            <family val="2"/>
          </rPr>
          <t>Chain Length options are; 
Default
500mm
750mm
1000mm
1250mm
1500mm
2000mm</t>
        </r>
      </text>
    </comment>
    <comment ref="R17" authorId="0" shapeId="0" xr:uid="{00000000-0006-0000-0400-00008D000000}">
      <text>
        <r>
          <rPr>
            <sz val="8"/>
            <color indexed="81"/>
            <rFont val="Tahoma"/>
            <family val="2"/>
          </rPr>
          <t>Chain Colour options are; 
White
White Birch
Black
Nickel Plated Brass
Stainless Steel</t>
        </r>
      </text>
    </comment>
    <comment ref="S17" authorId="0" shapeId="0" xr:uid="{00000000-0006-0000-0400-00008E000000}">
      <text>
        <r>
          <rPr>
            <sz val="8"/>
            <color indexed="81"/>
            <rFont val="Tahoma"/>
            <family val="2"/>
          </rPr>
          <t>When
 Standard or Common 
is selected the 
Pelmet Colour 
must be entered.</t>
        </r>
      </text>
    </comment>
    <comment ref="W17" authorId="0" shapeId="0" xr:uid="{00000000-0006-0000-0400-00008F000000}">
      <text>
        <r>
          <rPr>
            <sz val="8"/>
            <color indexed="81"/>
            <rFont val="Tahoma"/>
            <family val="2"/>
          </rPr>
          <t>Bracket Options include:
All other options;
Standard
Double
Link
Double Link</t>
        </r>
      </text>
    </comment>
    <comment ref="X17" authorId="0" shapeId="0" xr:uid="{00000000-0006-0000-0400-000090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8" authorId="0" shapeId="0" xr:uid="{00000000-0006-0000-0400-000091000000}">
      <text>
        <r>
          <rPr>
            <sz val="8"/>
            <color indexed="81"/>
            <rFont val="Tahoma"/>
            <family val="2"/>
          </rPr>
          <t>Products options are;
London
Maui
Paris
Sunscreen</t>
        </r>
      </text>
    </comment>
    <comment ref="E18" authorId="0" shapeId="0" xr:uid="{00000000-0006-0000-0400-000092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8" authorId="0" shapeId="0" xr:uid="{00000000-0006-0000-0400-000093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8" authorId="0" shapeId="0" xr:uid="{00000000-0006-0000-0400-000094000000}">
      <text>
        <r>
          <rPr>
            <sz val="8"/>
            <color indexed="81"/>
            <rFont val="Tahoma"/>
            <family val="2"/>
          </rPr>
          <t xml:space="preserve">Minimum Height/Drop is 300mm.
Maximum Height/Drop is 3000mm. </t>
        </r>
      </text>
    </comment>
    <comment ref="H18" authorId="0" shapeId="0" xr:uid="{00000000-0006-0000-0400-000095000000}">
      <text>
        <r>
          <rPr>
            <sz val="8"/>
            <color indexed="81"/>
            <rFont val="Tahoma"/>
            <family val="2"/>
          </rPr>
          <t>When selecting a
Corner or Bay 
Window Type, 
the 
CMB Corner WS 
or 
CMB Bay WS 
must be completed.</t>
        </r>
      </text>
    </comment>
    <comment ref="J18" authorId="0" shapeId="0" xr:uid="{00000000-0006-0000-0400-000096000000}">
      <text>
        <r>
          <rPr>
            <sz val="8"/>
            <color indexed="81"/>
            <rFont val="Tahoma"/>
            <family val="2"/>
          </rPr>
          <t>ACT 
Actual Measurements
You have made the allowances.
NAM
No Allowances Made 
The factory will make the deductions.</t>
        </r>
      </text>
    </comment>
    <comment ref="M18" authorId="0" shapeId="0" xr:uid="{00000000-0006-0000-0400-000097000000}">
      <text>
        <r>
          <rPr>
            <sz val="8"/>
            <color indexed="81"/>
            <rFont val="Tahoma"/>
            <family val="2"/>
          </rPr>
          <t xml:space="preserve">
Bottom Rail Colour options;
Clear Anodised
Metallic Black
Mocha
White
White Birch</t>
        </r>
      </text>
    </comment>
    <comment ref="O18" authorId="0" shapeId="0" xr:uid="{00000000-0006-0000-0400-000098000000}">
      <text>
        <r>
          <rPr>
            <sz val="8"/>
            <color indexed="81"/>
            <rFont val="Tahoma"/>
            <family val="2"/>
          </rPr>
          <t>Control Options are;
Left
Right
When Bracket Type is Link Together, 
Left or Right can only be selected once per Linked Set.</t>
        </r>
      </text>
    </comment>
    <comment ref="Q18" authorId="0" shapeId="0" xr:uid="{00000000-0006-0000-0400-000099000000}">
      <text>
        <r>
          <rPr>
            <sz val="8"/>
            <color indexed="81"/>
            <rFont val="Tahoma"/>
            <family val="2"/>
          </rPr>
          <t>Chain Length options are; 
Default
500mm
750mm
1000mm
1250mm
1500mm
2000mm</t>
        </r>
      </text>
    </comment>
    <comment ref="R18" authorId="0" shapeId="0" xr:uid="{00000000-0006-0000-0400-00009A000000}">
      <text>
        <r>
          <rPr>
            <sz val="8"/>
            <color indexed="81"/>
            <rFont val="Tahoma"/>
            <family val="2"/>
          </rPr>
          <t>Chain Colour options are; 
White
White Birch
Black
Nickel Plated Brass
Stainless Steel</t>
        </r>
      </text>
    </comment>
    <comment ref="S18" authorId="0" shapeId="0" xr:uid="{00000000-0006-0000-0400-00009B000000}">
      <text>
        <r>
          <rPr>
            <sz val="8"/>
            <color indexed="81"/>
            <rFont val="Tahoma"/>
            <family val="2"/>
          </rPr>
          <t>When
 Standard or Common 
is selected the 
Pelmet Colour 
must be entered.</t>
        </r>
      </text>
    </comment>
    <comment ref="W18" authorId="0" shapeId="0" xr:uid="{00000000-0006-0000-0400-00009C000000}">
      <text>
        <r>
          <rPr>
            <sz val="8"/>
            <color indexed="81"/>
            <rFont val="Tahoma"/>
            <family val="2"/>
          </rPr>
          <t>Bracket Options include:
All other options;
Standard
Double
Link
Double Link</t>
        </r>
      </text>
    </comment>
    <comment ref="X18" authorId="0" shapeId="0" xr:uid="{00000000-0006-0000-0400-00009D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9" authorId="0" shapeId="0" xr:uid="{00000000-0006-0000-0400-00009E000000}">
      <text>
        <r>
          <rPr>
            <sz val="8"/>
            <color indexed="81"/>
            <rFont val="Tahoma"/>
            <family val="2"/>
          </rPr>
          <t>Products options are;
London
Maui
Paris
Sunscreen</t>
        </r>
      </text>
    </comment>
    <comment ref="E19" authorId="0" shapeId="0" xr:uid="{00000000-0006-0000-0400-00009F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9" authorId="0" shapeId="0" xr:uid="{00000000-0006-0000-0400-0000A0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9" authorId="0" shapeId="0" xr:uid="{00000000-0006-0000-0400-0000A1000000}">
      <text>
        <r>
          <rPr>
            <sz val="8"/>
            <color indexed="81"/>
            <rFont val="Tahoma"/>
            <family val="2"/>
          </rPr>
          <t xml:space="preserve">Minimum Height/Drop is 300mm.
Maximum Height/Drop is 3000mm. </t>
        </r>
      </text>
    </comment>
    <comment ref="H19" authorId="0" shapeId="0" xr:uid="{00000000-0006-0000-0400-0000A2000000}">
      <text>
        <r>
          <rPr>
            <sz val="8"/>
            <color indexed="81"/>
            <rFont val="Tahoma"/>
            <family val="2"/>
          </rPr>
          <t>When selecting a
Corner or Bay 
Window Type, 
the 
CMB Corner WS 
or 
CMB Bay WS 
must be completed.</t>
        </r>
      </text>
    </comment>
    <comment ref="J19" authorId="0" shapeId="0" xr:uid="{00000000-0006-0000-0400-0000A3000000}">
      <text>
        <r>
          <rPr>
            <sz val="8"/>
            <color indexed="81"/>
            <rFont val="Tahoma"/>
            <family val="2"/>
          </rPr>
          <t>ACT 
Actual Measurements
You have made the allowances.
NAM
No Allowances Made 
The factory will make the deductions.</t>
        </r>
      </text>
    </comment>
    <comment ref="M19" authorId="0" shapeId="0" xr:uid="{00000000-0006-0000-0400-0000A4000000}">
      <text>
        <r>
          <rPr>
            <sz val="8"/>
            <color indexed="81"/>
            <rFont val="Tahoma"/>
            <family val="2"/>
          </rPr>
          <t xml:space="preserve">
Bottom Rail Colour options;
Clear Anodised
Metallic Black
Mocha
White
White Birch</t>
        </r>
      </text>
    </comment>
    <comment ref="O19" authorId="0" shapeId="0" xr:uid="{00000000-0006-0000-0400-0000A5000000}">
      <text>
        <r>
          <rPr>
            <sz val="8"/>
            <color indexed="81"/>
            <rFont val="Tahoma"/>
            <family val="2"/>
          </rPr>
          <t>Control Options are;
Left
Right
When Bracket Type is Link Together, 
Left or Right can only be selected once per Linked Set.</t>
        </r>
      </text>
    </comment>
    <comment ref="Q19" authorId="0" shapeId="0" xr:uid="{00000000-0006-0000-0400-0000A6000000}">
      <text>
        <r>
          <rPr>
            <sz val="8"/>
            <color indexed="81"/>
            <rFont val="Tahoma"/>
            <family val="2"/>
          </rPr>
          <t>Chain Length options are; 
Default
500mm
750mm
1000mm
1250mm
1500mm
2000mm</t>
        </r>
      </text>
    </comment>
    <comment ref="R19" authorId="0" shapeId="0" xr:uid="{00000000-0006-0000-0400-0000A7000000}">
      <text>
        <r>
          <rPr>
            <sz val="8"/>
            <color indexed="81"/>
            <rFont val="Tahoma"/>
            <family val="2"/>
          </rPr>
          <t>Chain Colour options are; 
White
White Birch
Black
Nickel Plated Brass
Stainless Steel</t>
        </r>
      </text>
    </comment>
    <comment ref="S19" authorId="0" shapeId="0" xr:uid="{00000000-0006-0000-0400-0000A8000000}">
      <text>
        <r>
          <rPr>
            <sz val="8"/>
            <color indexed="81"/>
            <rFont val="Tahoma"/>
            <family val="2"/>
          </rPr>
          <t>When
 Standard or Common 
is selected the 
Pelmet Colour 
must be entered.</t>
        </r>
      </text>
    </comment>
    <comment ref="W19" authorId="0" shapeId="0" xr:uid="{00000000-0006-0000-0400-0000A9000000}">
      <text>
        <r>
          <rPr>
            <sz val="8"/>
            <color indexed="81"/>
            <rFont val="Tahoma"/>
            <family val="2"/>
          </rPr>
          <t>Bracket Options include:
All other options;
Standard
Double
Link
Double Link</t>
        </r>
      </text>
    </comment>
    <comment ref="X19" authorId="0" shapeId="0" xr:uid="{00000000-0006-0000-0400-0000AA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0" authorId="0" shapeId="0" xr:uid="{00000000-0006-0000-0400-0000AB000000}">
      <text>
        <r>
          <rPr>
            <sz val="8"/>
            <color indexed="81"/>
            <rFont val="Tahoma"/>
            <family val="2"/>
          </rPr>
          <t>Products options are;
London
Maui
Paris
Sunscreen</t>
        </r>
      </text>
    </comment>
    <comment ref="E20" authorId="0" shapeId="0" xr:uid="{00000000-0006-0000-0400-0000AC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0" authorId="0" shapeId="0" xr:uid="{00000000-0006-0000-0400-0000AD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0" authorId="0" shapeId="0" xr:uid="{00000000-0006-0000-0400-0000AE000000}">
      <text>
        <r>
          <rPr>
            <sz val="8"/>
            <color indexed="81"/>
            <rFont val="Tahoma"/>
            <family val="2"/>
          </rPr>
          <t xml:space="preserve">Minimum Height/Drop is 300mm.
Maximum Height/Drop is 3000mm. </t>
        </r>
      </text>
    </comment>
    <comment ref="H20" authorId="0" shapeId="0" xr:uid="{00000000-0006-0000-0400-0000AF000000}">
      <text>
        <r>
          <rPr>
            <sz val="8"/>
            <color indexed="81"/>
            <rFont val="Tahoma"/>
            <family val="2"/>
          </rPr>
          <t>When selecting a
Corner or Bay 
Window Type, 
the 
CMB Corner WS 
or 
CMB Bay WS 
must be completed.</t>
        </r>
      </text>
    </comment>
    <comment ref="J20" authorId="0" shapeId="0" xr:uid="{00000000-0006-0000-0400-0000B0000000}">
      <text>
        <r>
          <rPr>
            <sz val="8"/>
            <color indexed="81"/>
            <rFont val="Tahoma"/>
            <family val="2"/>
          </rPr>
          <t>ACT 
Actual Measurements
You have made the allowances.
NAM
No Allowances Made 
The factory will make the deductions.</t>
        </r>
      </text>
    </comment>
    <comment ref="M20" authorId="0" shapeId="0" xr:uid="{00000000-0006-0000-0400-0000B1000000}">
      <text>
        <r>
          <rPr>
            <sz val="8"/>
            <color indexed="81"/>
            <rFont val="Tahoma"/>
            <family val="2"/>
          </rPr>
          <t xml:space="preserve">
Bottom Rail Colour options;
Clear Anodised
Metallic Black
Mocha
White
White Birch</t>
        </r>
      </text>
    </comment>
    <comment ref="O20" authorId="0" shapeId="0" xr:uid="{00000000-0006-0000-0400-0000B2000000}">
      <text>
        <r>
          <rPr>
            <sz val="8"/>
            <color indexed="81"/>
            <rFont val="Tahoma"/>
            <family val="2"/>
          </rPr>
          <t>Control Options are;
Left
Right
When Bracket Type is Link Together, 
Left or Right can only be selected once per Linked Set.</t>
        </r>
      </text>
    </comment>
    <comment ref="Q20" authorId="0" shapeId="0" xr:uid="{00000000-0006-0000-0400-0000B3000000}">
      <text>
        <r>
          <rPr>
            <sz val="8"/>
            <color indexed="81"/>
            <rFont val="Tahoma"/>
            <family val="2"/>
          </rPr>
          <t>Chain Length options are; 
Default
500mm
750mm
1000mm
1250mm
1500mm
2000mm</t>
        </r>
      </text>
    </comment>
    <comment ref="R20" authorId="0" shapeId="0" xr:uid="{00000000-0006-0000-0400-0000B4000000}">
      <text>
        <r>
          <rPr>
            <sz val="8"/>
            <color indexed="81"/>
            <rFont val="Tahoma"/>
            <family val="2"/>
          </rPr>
          <t>Chain Colour options are; 
White
White Birch
Black
Nickel Plated Brass
Stainless Steel</t>
        </r>
      </text>
    </comment>
    <comment ref="S20" authorId="0" shapeId="0" xr:uid="{00000000-0006-0000-0400-0000B5000000}">
      <text>
        <r>
          <rPr>
            <sz val="8"/>
            <color indexed="81"/>
            <rFont val="Tahoma"/>
            <family val="2"/>
          </rPr>
          <t>When
 Standard or Common 
is selected the 
Pelmet Colour 
must be entered.</t>
        </r>
      </text>
    </comment>
    <comment ref="W20" authorId="0" shapeId="0" xr:uid="{00000000-0006-0000-0400-0000B6000000}">
      <text>
        <r>
          <rPr>
            <sz val="8"/>
            <color indexed="81"/>
            <rFont val="Tahoma"/>
            <family val="2"/>
          </rPr>
          <t>Bracket Options include:
All other options;
Standard
Double
Link
Double Link</t>
        </r>
      </text>
    </comment>
    <comment ref="X20" authorId="0" shapeId="0" xr:uid="{00000000-0006-0000-0400-0000B7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1" authorId="0" shapeId="0" xr:uid="{00000000-0006-0000-0400-0000B8000000}">
      <text>
        <r>
          <rPr>
            <sz val="8"/>
            <color indexed="81"/>
            <rFont val="Tahoma"/>
            <family val="2"/>
          </rPr>
          <t>Products options are;
London
Maui
Paris
Sunscreen</t>
        </r>
      </text>
    </comment>
    <comment ref="E21" authorId="0" shapeId="0" xr:uid="{00000000-0006-0000-0400-0000B9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1" authorId="0" shapeId="0" xr:uid="{00000000-0006-0000-0400-0000BA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1" authorId="0" shapeId="0" xr:uid="{00000000-0006-0000-0400-0000BB000000}">
      <text>
        <r>
          <rPr>
            <sz val="8"/>
            <color indexed="81"/>
            <rFont val="Tahoma"/>
            <family val="2"/>
          </rPr>
          <t xml:space="preserve">Minimum Height/Drop is 300mm.
Maximum Height/Drop is 3000mm. </t>
        </r>
      </text>
    </comment>
    <comment ref="H21" authorId="0" shapeId="0" xr:uid="{00000000-0006-0000-0400-0000BC000000}">
      <text>
        <r>
          <rPr>
            <sz val="8"/>
            <color indexed="81"/>
            <rFont val="Tahoma"/>
            <family val="2"/>
          </rPr>
          <t>When selecting a
Corner or Bay 
Window Type, 
the 
CMB Corner WS 
or 
CMB Bay WS 
must be completed.</t>
        </r>
      </text>
    </comment>
    <comment ref="J21" authorId="0" shapeId="0" xr:uid="{00000000-0006-0000-0400-0000BD000000}">
      <text>
        <r>
          <rPr>
            <sz val="8"/>
            <color indexed="81"/>
            <rFont val="Tahoma"/>
            <family val="2"/>
          </rPr>
          <t>ACT 
Actual Measurements
You have made the allowances.
NAM
No Allowances Made 
The factory will make the deductions.</t>
        </r>
      </text>
    </comment>
    <comment ref="M21" authorId="0" shapeId="0" xr:uid="{00000000-0006-0000-0400-0000BE000000}">
      <text>
        <r>
          <rPr>
            <sz val="8"/>
            <color indexed="81"/>
            <rFont val="Tahoma"/>
            <family val="2"/>
          </rPr>
          <t xml:space="preserve">
Bottom Rail Colour options;
Clear Anodised
Metallic Black
Mocha
White
White Birch</t>
        </r>
      </text>
    </comment>
    <comment ref="O21" authorId="0" shapeId="0" xr:uid="{00000000-0006-0000-0400-0000BF000000}">
      <text>
        <r>
          <rPr>
            <sz val="8"/>
            <color indexed="81"/>
            <rFont val="Tahoma"/>
            <family val="2"/>
          </rPr>
          <t>Control Options are;
Left
Right
When Bracket Type is Link Together, 
Left or Right can only be selected once per Linked Set.</t>
        </r>
      </text>
    </comment>
    <comment ref="Q21" authorId="0" shapeId="0" xr:uid="{00000000-0006-0000-0400-0000C0000000}">
      <text>
        <r>
          <rPr>
            <sz val="8"/>
            <color indexed="81"/>
            <rFont val="Tahoma"/>
            <family val="2"/>
          </rPr>
          <t>Chain Length options are; 
Default
500mm
750mm
1000mm
1250mm
1500mm
2000mm</t>
        </r>
      </text>
    </comment>
    <comment ref="R21" authorId="0" shapeId="0" xr:uid="{00000000-0006-0000-0400-0000C1000000}">
      <text>
        <r>
          <rPr>
            <sz val="8"/>
            <color indexed="81"/>
            <rFont val="Tahoma"/>
            <family val="2"/>
          </rPr>
          <t>Chain Colour options are; 
White
White Birch
Black
Nickel Plated Brass
Stainless Steel</t>
        </r>
      </text>
    </comment>
    <comment ref="S21" authorId="0" shapeId="0" xr:uid="{00000000-0006-0000-0400-0000C2000000}">
      <text>
        <r>
          <rPr>
            <sz val="8"/>
            <color indexed="81"/>
            <rFont val="Tahoma"/>
            <family val="2"/>
          </rPr>
          <t>When
 Standard or Common 
is selected the 
Pelmet Colour 
must be entered.</t>
        </r>
      </text>
    </comment>
    <comment ref="W21" authorId="0" shapeId="0" xr:uid="{00000000-0006-0000-0400-0000C3000000}">
      <text>
        <r>
          <rPr>
            <sz val="8"/>
            <color indexed="81"/>
            <rFont val="Tahoma"/>
            <family val="2"/>
          </rPr>
          <t>Bracket Options include:
All other options;
Standard
Double
Link
Double Link</t>
        </r>
      </text>
    </comment>
    <comment ref="X21" authorId="0" shapeId="0" xr:uid="{00000000-0006-0000-0400-0000C4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2" authorId="0" shapeId="0" xr:uid="{00000000-0006-0000-0400-0000C5000000}">
      <text>
        <r>
          <rPr>
            <sz val="8"/>
            <color indexed="81"/>
            <rFont val="Tahoma"/>
            <family val="2"/>
          </rPr>
          <t>Products options are;
London
Maui
Paris
Sunscreen</t>
        </r>
      </text>
    </comment>
    <comment ref="E22" authorId="0" shapeId="0" xr:uid="{00000000-0006-0000-0400-0000C6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2" authorId="0" shapeId="0" xr:uid="{00000000-0006-0000-0400-0000C7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2" authorId="0" shapeId="0" xr:uid="{00000000-0006-0000-0400-0000C8000000}">
      <text>
        <r>
          <rPr>
            <sz val="8"/>
            <color indexed="81"/>
            <rFont val="Tahoma"/>
            <family val="2"/>
          </rPr>
          <t xml:space="preserve">Minimum Height/Drop is 300mm.
Maximum Height/Drop is 3000mm. </t>
        </r>
      </text>
    </comment>
    <comment ref="H22" authorId="0" shapeId="0" xr:uid="{00000000-0006-0000-0400-0000C9000000}">
      <text>
        <r>
          <rPr>
            <sz val="8"/>
            <color indexed="81"/>
            <rFont val="Tahoma"/>
            <family val="2"/>
          </rPr>
          <t>When selecting a
Corner or Bay 
Window Type, 
the 
CMB Corner WS 
or 
CMB Bay WS 
must be completed.</t>
        </r>
      </text>
    </comment>
    <comment ref="J22" authorId="0" shapeId="0" xr:uid="{00000000-0006-0000-0400-0000CA000000}">
      <text>
        <r>
          <rPr>
            <sz val="8"/>
            <color indexed="81"/>
            <rFont val="Tahoma"/>
            <family val="2"/>
          </rPr>
          <t>ACT 
Actual Measurements
You have made the allowances.
NAM
No Allowances Made 
The factory will make the deductions.</t>
        </r>
      </text>
    </comment>
    <comment ref="M22" authorId="0" shapeId="0" xr:uid="{00000000-0006-0000-0400-0000CB000000}">
      <text>
        <r>
          <rPr>
            <sz val="8"/>
            <color indexed="81"/>
            <rFont val="Tahoma"/>
            <family val="2"/>
          </rPr>
          <t xml:space="preserve">
Bottom Rail Colour options;
Clear Anodised
Metallic Black
Mocha
White
White Birch</t>
        </r>
      </text>
    </comment>
    <comment ref="O22" authorId="0" shapeId="0" xr:uid="{00000000-0006-0000-0400-0000CC000000}">
      <text>
        <r>
          <rPr>
            <sz val="8"/>
            <color indexed="81"/>
            <rFont val="Tahoma"/>
            <family val="2"/>
          </rPr>
          <t>Control Options are;
Left
Right
When Bracket Type is Link Together, 
Left or Right can only be selected once per Linked Set.</t>
        </r>
      </text>
    </comment>
    <comment ref="Q22" authorId="0" shapeId="0" xr:uid="{00000000-0006-0000-0400-0000CD000000}">
      <text>
        <r>
          <rPr>
            <sz val="8"/>
            <color indexed="81"/>
            <rFont val="Tahoma"/>
            <family val="2"/>
          </rPr>
          <t>Chain Length options are; 
Default
500mm
750mm
1000mm
1250mm
1500mm
2000mm</t>
        </r>
      </text>
    </comment>
    <comment ref="R22" authorId="0" shapeId="0" xr:uid="{00000000-0006-0000-0400-0000CE000000}">
      <text>
        <r>
          <rPr>
            <sz val="8"/>
            <color indexed="81"/>
            <rFont val="Tahoma"/>
            <family val="2"/>
          </rPr>
          <t>Chain Colour options are; 
White
White Birch
Black
Nickel Plated Brass
Stainless Steel</t>
        </r>
      </text>
    </comment>
    <comment ref="S22" authorId="0" shapeId="0" xr:uid="{00000000-0006-0000-0400-0000CF000000}">
      <text>
        <r>
          <rPr>
            <sz val="8"/>
            <color indexed="81"/>
            <rFont val="Tahoma"/>
            <family val="2"/>
          </rPr>
          <t>When
 Standard or Common 
is selected the 
Pelmet Colour 
must be entered.</t>
        </r>
      </text>
    </comment>
    <comment ref="W22" authorId="0" shapeId="0" xr:uid="{00000000-0006-0000-0400-0000D0000000}">
      <text>
        <r>
          <rPr>
            <sz val="8"/>
            <color indexed="81"/>
            <rFont val="Tahoma"/>
            <family val="2"/>
          </rPr>
          <t>Bracket Options include:
All other options;
Standard
Double
Link
Double Link</t>
        </r>
      </text>
    </comment>
    <comment ref="X22" authorId="0" shapeId="0" xr:uid="{00000000-0006-0000-0400-0000D1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3" authorId="0" shapeId="0" xr:uid="{00000000-0006-0000-0400-0000D2000000}">
      <text>
        <r>
          <rPr>
            <sz val="8"/>
            <color indexed="81"/>
            <rFont val="Tahoma"/>
            <family val="2"/>
          </rPr>
          <t>Products options are;
London
Maui
Paris
Sunscreen</t>
        </r>
      </text>
    </comment>
    <comment ref="E23" authorId="0" shapeId="0" xr:uid="{00000000-0006-0000-0400-0000D3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3" authorId="0" shapeId="0" xr:uid="{00000000-0006-0000-0400-0000D4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3" authorId="0" shapeId="0" xr:uid="{00000000-0006-0000-0400-0000D5000000}">
      <text>
        <r>
          <rPr>
            <sz val="8"/>
            <color indexed="81"/>
            <rFont val="Tahoma"/>
            <family val="2"/>
          </rPr>
          <t xml:space="preserve">Minimum Height/Drop is 300mm.
Maximum Height/Drop is 3000mm. </t>
        </r>
      </text>
    </comment>
    <comment ref="H23" authorId="0" shapeId="0" xr:uid="{00000000-0006-0000-0400-0000D6000000}">
      <text>
        <r>
          <rPr>
            <sz val="8"/>
            <color indexed="81"/>
            <rFont val="Tahoma"/>
            <family val="2"/>
          </rPr>
          <t>When selecting a
Corner or Bay 
Window Type, 
the 
CMB Corner WS 
or 
CMB Bay WS 
must be completed.</t>
        </r>
      </text>
    </comment>
    <comment ref="J23" authorId="0" shapeId="0" xr:uid="{00000000-0006-0000-0400-0000D7000000}">
      <text>
        <r>
          <rPr>
            <sz val="8"/>
            <color indexed="81"/>
            <rFont val="Tahoma"/>
            <family val="2"/>
          </rPr>
          <t>ACT 
Actual Measurements
You have made the allowances.
NAM
No Allowances Made 
The factory will make the deductions.</t>
        </r>
      </text>
    </comment>
    <comment ref="M23" authorId="0" shapeId="0" xr:uid="{00000000-0006-0000-0400-0000D8000000}">
      <text>
        <r>
          <rPr>
            <sz val="8"/>
            <color indexed="81"/>
            <rFont val="Tahoma"/>
            <family val="2"/>
          </rPr>
          <t xml:space="preserve">
Bottom Rail Colour options;
Clear Anodised
Metallic Black
Mocha
White
White Birch</t>
        </r>
      </text>
    </comment>
    <comment ref="O23" authorId="0" shapeId="0" xr:uid="{00000000-0006-0000-0400-0000D9000000}">
      <text>
        <r>
          <rPr>
            <sz val="8"/>
            <color indexed="81"/>
            <rFont val="Tahoma"/>
            <family val="2"/>
          </rPr>
          <t>Control Options are;
Left
Right
When Bracket Type is Link Together, 
Left or Right can only be selected once per Linked Set.</t>
        </r>
      </text>
    </comment>
    <comment ref="Q23" authorId="0" shapeId="0" xr:uid="{00000000-0006-0000-0400-0000DA000000}">
      <text>
        <r>
          <rPr>
            <sz val="8"/>
            <color indexed="81"/>
            <rFont val="Tahoma"/>
            <family val="2"/>
          </rPr>
          <t>Chain Length options are; 
Default
500mm
750mm
1000mm
1250mm
1500mm
2000mm</t>
        </r>
      </text>
    </comment>
    <comment ref="R23" authorId="0" shapeId="0" xr:uid="{00000000-0006-0000-0400-0000DB000000}">
      <text>
        <r>
          <rPr>
            <sz val="8"/>
            <color indexed="81"/>
            <rFont val="Tahoma"/>
            <family val="2"/>
          </rPr>
          <t>Chain Colour options are; 
White
White Birch
Black
Nickel Plated Brass
Stainless Steel</t>
        </r>
      </text>
    </comment>
    <comment ref="S23" authorId="0" shapeId="0" xr:uid="{00000000-0006-0000-0400-0000DC000000}">
      <text>
        <r>
          <rPr>
            <sz val="8"/>
            <color indexed="81"/>
            <rFont val="Tahoma"/>
            <family val="2"/>
          </rPr>
          <t>When
 Standard or Common 
is selected the 
Pelmet Colour 
must be entered.</t>
        </r>
      </text>
    </comment>
    <comment ref="W23" authorId="0" shapeId="0" xr:uid="{00000000-0006-0000-0400-0000DD000000}">
      <text>
        <r>
          <rPr>
            <sz val="8"/>
            <color indexed="81"/>
            <rFont val="Tahoma"/>
            <family val="2"/>
          </rPr>
          <t>Bracket Options include:
All other options;
Standard
Double
Link
Double Link</t>
        </r>
      </text>
    </comment>
    <comment ref="X23" authorId="0" shapeId="0" xr:uid="{00000000-0006-0000-0400-0000DE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4" authorId="0" shapeId="0" xr:uid="{00000000-0006-0000-0400-0000DF000000}">
      <text>
        <r>
          <rPr>
            <sz val="8"/>
            <color indexed="81"/>
            <rFont val="Tahoma"/>
            <family val="2"/>
          </rPr>
          <t>Products options are;
London
Maui
Paris
Sunscreen</t>
        </r>
      </text>
    </comment>
    <comment ref="E24" authorId="0" shapeId="0" xr:uid="{00000000-0006-0000-0400-0000E0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4" authorId="0" shapeId="0" xr:uid="{00000000-0006-0000-0400-0000E1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4" authorId="0" shapeId="0" xr:uid="{00000000-0006-0000-0400-0000E2000000}">
      <text>
        <r>
          <rPr>
            <sz val="8"/>
            <color indexed="81"/>
            <rFont val="Tahoma"/>
            <family val="2"/>
          </rPr>
          <t xml:space="preserve">Minimum Height/Drop is 300mm.
Maximum Height/Drop is 3000mm. </t>
        </r>
      </text>
    </comment>
    <comment ref="H24" authorId="0" shapeId="0" xr:uid="{00000000-0006-0000-0400-0000E3000000}">
      <text>
        <r>
          <rPr>
            <sz val="8"/>
            <color indexed="81"/>
            <rFont val="Tahoma"/>
            <family val="2"/>
          </rPr>
          <t>When selecting a
Corner or Bay 
Window Type, 
the 
CMB Corner WS 
or 
CMB Bay WS 
must be completed.</t>
        </r>
      </text>
    </comment>
    <comment ref="J24" authorId="0" shapeId="0" xr:uid="{00000000-0006-0000-0400-0000E4000000}">
      <text>
        <r>
          <rPr>
            <sz val="8"/>
            <color indexed="81"/>
            <rFont val="Tahoma"/>
            <family val="2"/>
          </rPr>
          <t>ACT 
Actual Measurements
You have made the allowances.
NAM
No Allowances Made 
The factory will make the deductions.</t>
        </r>
      </text>
    </comment>
    <comment ref="M24" authorId="0" shapeId="0" xr:uid="{00000000-0006-0000-0400-0000E5000000}">
      <text>
        <r>
          <rPr>
            <sz val="8"/>
            <color indexed="81"/>
            <rFont val="Tahoma"/>
            <family val="2"/>
          </rPr>
          <t xml:space="preserve">
Bottom Rail Colour options;
Clear Anodised
Metallic Black
Mocha
White
White Birch</t>
        </r>
      </text>
    </comment>
    <comment ref="O24" authorId="0" shapeId="0" xr:uid="{00000000-0006-0000-0400-0000E6000000}">
      <text>
        <r>
          <rPr>
            <sz val="8"/>
            <color indexed="81"/>
            <rFont val="Tahoma"/>
            <family val="2"/>
          </rPr>
          <t>Control Options are;
Left
Right
When Bracket Type is Link Together, 
Left or Right can only be selected once per Linked Set.</t>
        </r>
      </text>
    </comment>
    <comment ref="Q24" authorId="0" shapeId="0" xr:uid="{00000000-0006-0000-0400-0000E7000000}">
      <text>
        <r>
          <rPr>
            <sz val="8"/>
            <color indexed="81"/>
            <rFont val="Tahoma"/>
            <family val="2"/>
          </rPr>
          <t>Chain Length options are; 
Default
500mm
750mm
1000mm
1250mm
1500mm
2000mm</t>
        </r>
      </text>
    </comment>
    <comment ref="R24" authorId="0" shapeId="0" xr:uid="{00000000-0006-0000-0400-0000E8000000}">
      <text>
        <r>
          <rPr>
            <sz val="8"/>
            <color indexed="81"/>
            <rFont val="Tahoma"/>
            <family val="2"/>
          </rPr>
          <t>Chain Colour options are; 
White
White Birch
Black
Nickel Plated Brass
Stainless Steel</t>
        </r>
      </text>
    </comment>
    <comment ref="S24" authorId="0" shapeId="0" xr:uid="{00000000-0006-0000-0400-0000E9000000}">
      <text>
        <r>
          <rPr>
            <sz val="8"/>
            <color indexed="81"/>
            <rFont val="Tahoma"/>
            <family val="2"/>
          </rPr>
          <t>When
 Standard or Common 
is selected the 
Pelmet Colour 
must be entered.</t>
        </r>
      </text>
    </comment>
    <comment ref="W24" authorId="0" shapeId="0" xr:uid="{00000000-0006-0000-0400-0000EA000000}">
      <text>
        <r>
          <rPr>
            <sz val="8"/>
            <color indexed="81"/>
            <rFont val="Tahoma"/>
            <family val="2"/>
          </rPr>
          <t>Bracket Options include:
All other options;
Standard
Double
Link
Double Link</t>
        </r>
      </text>
    </comment>
    <comment ref="X24" authorId="0" shapeId="0" xr:uid="{00000000-0006-0000-0400-0000EB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5" authorId="0" shapeId="0" xr:uid="{00000000-0006-0000-0400-0000EC000000}">
      <text>
        <r>
          <rPr>
            <sz val="8"/>
            <color indexed="81"/>
            <rFont val="Tahoma"/>
            <family val="2"/>
          </rPr>
          <t>Products options are;
London
Maui
Paris
Sunscreen</t>
        </r>
      </text>
    </comment>
    <comment ref="E25" authorId="0" shapeId="0" xr:uid="{00000000-0006-0000-0400-0000ED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5" authorId="0" shapeId="0" xr:uid="{00000000-0006-0000-0400-0000EE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5" authorId="0" shapeId="0" xr:uid="{00000000-0006-0000-0400-0000EF000000}">
      <text>
        <r>
          <rPr>
            <sz val="8"/>
            <color indexed="81"/>
            <rFont val="Tahoma"/>
            <family val="2"/>
          </rPr>
          <t xml:space="preserve">Minimum Height/Drop is 300mm.
Maximum Height/Drop is 3000mm. </t>
        </r>
      </text>
    </comment>
    <comment ref="H25" authorId="0" shapeId="0" xr:uid="{00000000-0006-0000-0400-0000F0000000}">
      <text>
        <r>
          <rPr>
            <sz val="8"/>
            <color indexed="81"/>
            <rFont val="Tahoma"/>
            <family val="2"/>
          </rPr>
          <t>When selecting a
Corner or Bay 
Window Type, 
the 
CMB Corner WS 
or 
CMB Bay WS 
must be completed.</t>
        </r>
      </text>
    </comment>
    <comment ref="J25" authorId="0" shapeId="0" xr:uid="{00000000-0006-0000-0400-0000F1000000}">
      <text>
        <r>
          <rPr>
            <sz val="8"/>
            <color indexed="81"/>
            <rFont val="Tahoma"/>
            <family val="2"/>
          </rPr>
          <t>ACT 
Actual Measurements
You have made the allowances.
NAM
No Allowances Made 
The factory will make the deductions.</t>
        </r>
      </text>
    </comment>
    <comment ref="M25" authorId="0" shapeId="0" xr:uid="{00000000-0006-0000-0400-0000F2000000}">
      <text>
        <r>
          <rPr>
            <sz val="8"/>
            <color indexed="81"/>
            <rFont val="Tahoma"/>
            <family val="2"/>
          </rPr>
          <t xml:space="preserve">
Bottom Rail Colour options;
Clear Anodised
Metallic Black
Mocha
White
White Birch</t>
        </r>
      </text>
    </comment>
    <comment ref="O25" authorId="0" shapeId="0" xr:uid="{00000000-0006-0000-0400-0000F3000000}">
      <text>
        <r>
          <rPr>
            <sz val="8"/>
            <color indexed="81"/>
            <rFont val="Tahoma"/>
            <family val="2"/>
          </rPr>
          <t>Control Options are;
Left
Right
When Bracket Type is Link Together, 
Left or Right can only be selected once per Linked Set.</t>
        </r>
      </text>
    </comment>
    <comment ref="Q25" authorId="0" shapeId="0" xr:uid="{00000000-0006-0000-0400-0000F4000000}">
      <text>
        <r>
          <rPr>
            <sz val="8"/>
            <color indexed="81"/>
            <rFont val="Tahoma"/>
            <family val="2"/>
          </rPr>
          <t>Chain Length options are; 
Default
500mm
750mm
1000mm
1250mm
1500mm
2000mm</t>
        </r>
      </text>
    </comment>
    <comment ref="R25" authorId="0" shapeId="0" xr:uid="{00000000-0006-0000-0400-0000F5000000}">
      <text>
        <r>
          <rPr>
            <sz val="8"/>
            <color indexed="81"/>
            <rFont val="Tahoma"/>
            <family val="2"/>
          </rPr>
          <t>Chain Colour options are; 
White
White Birch
Black
Nickel Plated Brass
Stainless Steel</t>
        </r>
      </text>
    </comment>
    <comment ref="S25" authorId="0" shapeId="0" xr:uid="{00000000-0006-0000-0400-0000F6000000}">
      <text>
        <r>
          <rPr>
            <sz val="8"/>
            <color indexed="81"/>
            <rFont val="Tahoma"/>
            <family val="2"/>
          </rPr>
          <t>When
 Standard or Common 
is selected the 
Pelmet Colour 
must be entered.</t>
        </r>
      </text>
    </comment>
    <comment ref="W25" authorId="0" shapeId="0" xr:uid="{00000000-0006-0000-0400-0000F7000000}">
      <text>
        <r>
          <rPr>
            <sz val="8"/>
            <color indexed="81"/>
            <rFont val="Tahoma"/>
            <family val="2"/>
          </rPr>
          <t>Bracket Options include:
All other options;
Standard
Double
Link
Double Link</t>
        </r>
      </text>
    </comment>
    <comment ref="X25" authorId="0" shapeId="0" xr:uid="{00000000-0006-0000-0400-0000F8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6" authorId="0" shapeId="0" xr:uid="{00000000-0006-0000-0400-0000F9000000}">
      <text>
        <r>
          <rPr>
            <sz val="8"/>
            <color indexed="81"/>
            <rFont val="Tahoma"/>
            <family val="2"/>
          </rPr>
          <t>Products options are;
London
Maui
Paris
Sunscreen</t>
        </r>
      </text>
    </comment>
    <comment ref="E26" authorId="0" shapeId="0" xr:uid="{00000000-0006-0000-0400-0000FA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6" authorId="0" shapeId="0" xr:uid="{00000000-0006-0000-0400-0000FB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6" authorId="0" shapeId="0" xr:uid="{00000000-0006-0000-0400-0000FC000000}">
      <text>
        <r>
          <rPr>
            <sz val="8"/>
            <color indexed="81"/>
            <rFont val="Tahoma"/>
            <family val="2"/>
          </rPr>
          <t xml:space="preserve">Minimum Height/Drop is 300mm.
Maximum Height/Drop is 3000mm. </t>
        </r>
      </text>
    </comment>
    <comment ref="H26" authorId="0" shapeId="0" xr:uid="{00000000-0006-0000-0400-0000FD000000}">
      <text>
        <r>
          <rPr>
            <sz val="8"/>
            <color indexed="81"/>
            <rFont val="Tahoma"/>
            <family val="2"/>
          </rPr>
          <t>When selecting a
Corner or Bay 
Window Type, 
the 
CMB Corner WS 
or 
CMB Bay WS 
must be completed.</t>
        </r>
      </text>
    </comment>
    <comment ref="J26" authorId="0" shapeId="0" xr:uid="{00000000-0006-0000-0400-0000FE000000}">
      <text>
        <r>
          <rPr>
            <sz val="8"/>
            <color indexed="81"/>
            <rFont val="Tahoma"/>
            <family val="2"/>
          </rPr>
          <t>ACT 
Actual Measurements
You have made the allowances.
NAM
No Allowances Made 
The factory will make the deductions.</t>
        </r>
      </text>
    </comment>
    <comment ref="M26" authorId="0" shapeId="0" xr:uid="{00000000-0006-0000-0400-0000FF000000}">
      <text>
        <r>
          <rPr>
            <sz val="8"/>
            <color indexed="81"/>
            <rFont val="Tahoma"/>
            <family val="2"/>
          </rPr>
          <t xml:space="preserve">
Bottom Rail Colour options;
Clear Anodised
Metallic Black
Mocha
White
White Birch</t>
        </r>
      </text>
    </comment>
    <comment ref="O26" authorId="0" shapeId="0" xr:uid="{00000000-0006-0000-0400-000000010000}">
      <text>
        <r>
          <rPr>
            <sz val="8"/>
            <color indexed="81"/>
            <rFont val="Tahoma"/>
            <family val="2"/>
          </rPr>
          <t>Control Options are;
Left
Right
When Bracket Type is Link Together, 
Left or Right can only be selected once per Linked Set.</t>
        </r>
      </text>
    </comment>
    <comment ref="Q26" authorId="0" shapeId="0" xr:uid="{00000000-0006-0000-0400-000001010000}">
      <text>
        <r>
          <rPr>
            <sz val="8"/>
            <color indexed="81"/>
            <rFont val="Tahoma"/>
            <family val="2"/>
          </rPr>
          <t>Chain Length options are; 
Default
500mm
750mm
1000mm
1250mm
1500mm
2000mm</t>
        </r>
      </text>
    </comment>
    <comment ref="R26" authorId="0" shapeId="0" xr:uid="{00000000-0006-0000-0400-000002010000}">
      <text>
        <r>
          <rPr>
            <sz val="8"/>
            <color indexed="81"/>
            <rFont val="Tahoma"/>
            <family val="2"/>
          </rPr>
          <t>Chain Colour options are; 
White
White Birch
Black
Nickel Plated Brass
Stainless Steel</t>
        </r>
      </text>
    </comment>
    <comment ref="S26" authorId="0" shapeId="0" xr:uid="{00000000-0006-0000-0400-000003010000}">
      <text>
        <r>
          <rPr>
            <sz val="8"/>
            <color indexed="81"/>
            <rFont val="Tahoma"/>
            <family val="2"/>
          </rPr>
          <t>When
 Standard or Common 
is selected the 
Pelmet Colour 
must be entered.</t>
        </r>
      </text>
    </comment>
    <comment ref="W26" authorId="0" shapeId="0" xr:uid="{00000000-0006-0000-0400-000004010000}">
      <text>
        <r>
          <rPr>
            <sz val="8"/>
            <color indexed="81"/>
            <rFont val="Tahoma"/>
            <family val="2"/>
          </rPr>
          <t>Bracket Options include:
All other options;
Standard
Double
Link
Double Link</t>
        </r>
      </text>
    </comment>
    <comment ref="X26" authorId="0" shapeId="0" xr:uid="{00000000-0006-0000-0400-000005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7" authorId="0" shapeId="0" xr:uid="{00000000-0006-0000-0400-000006010000}">
      <text>
        <r>
          <rPr>
            <sz val="8"/>
            <color indexed="81"/>
            <rFont val="Tahoma"/>
            <family val="2"/>
          </rPr>
          <t>Products options are;
London
Maui
Paris
Sunscreen</t>
        </r>
      </text>
    </comment>
    <comment ref="E27" authorId="0" shapeId="0" xr:uid="{00000000-0006-0000-0400-000007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7" authorId="0" shapeId="0" xr:uid="{00000000-0006-0000-0400-000008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7" authorId="0" shapeId="0" xr:uid="{00000000-0006-0000-0400-000009010000}">
      <text>
        <r>
          <rPr>
            <sz val="8"/>
            <color indexed="81"/>
            <rFont val="Tahoma"/>
            <family val="2"/>
          </rPr>
          <t xml:space="preserve">Minimum Height/Drop is 300mm.
Maximum Height/Drop is 3000mm. </t>
        </r>
      </text>
    </comment>
    <comment ref="H27" authorId="0" shapeId="0" xr:uid="{00000000-0006-0000-0400-00000A010000}">
      <text>
        <r>
          <rPr>
            <sz val="8"/>
            <color indexed="81"/>
            <rFont val="Tahoma"/>
            <family val="2"/>
          </rPr>
          <t>When selecting a
Corner or Bay 
Window Type, 
the 
CMB Corner WS 
or 
CMB Bay WS 
must be completed.</t>
        </r>
      </text>
    </comment>
    <comment ref="J27" authorId="0" shapeId="0" xr:uid="{00000000-0006-0000-0400-00000B010000}">
      <text>
        <r>
          <rPr>
            <sz val="8"/>
            <color indexed="81"/>
            <rFont val="Tahoma"/>
            <family val="2"/>
          </rPr>
          <t>ACT 
Actual Measurements
You have made the allowances.
NAM
No Allowances Made 
The factory will make the deductions.</t>
        </r>
      </text>
    </comment>
    <comment ref="M27" authorId="0" shapeId="0" xr:uid="{00000000-0006-0000-0400-00000C010000}">
      <text>
        <r>
          <rPr>
            <sz val="8"/>
            <color indexed="81"/>
            <rFont val="Tahoma"/>
            <family val="2"/>
          </rPr>
          <t xml:space="preserve">
Bottom Rail Colour options;
Clear Anodised
Metallic Black
Mocha
White
White Birch</t>
        </r>
      </text>
    </comment>
    <comment ref="O27" authorId="0" shapeId="0" xr:uid="{00000000-0006-0000-0400-00000D010000}">
      <text>
        <r>
          <rPr>
            <sz val="8"/>
            <color indexed="81"/>
            <rFont val="Tahoma"/>
            <family val="2"/>
          </rPr>
          <t>Control Options are;
Left
Right
When Bracket Type is Link Together, 
Left or Right can only be selected once per Linked Set.</t>
        </r>
      </text>
    </comment>
    <comment ref="Q27" authorId="0" shapeId="0" xr:uid="{00000000-0006-0000-0400-00000E010000}">
      <text>
        <r>
          <rPr>
            <sz val="8"/>
            <color indexed="81"/>
            <rFont val="Tahoma"/>
            <family val="2"/>
          </rPr>
          <t>Chain Length options are; 
Default
500mm
750mm
1000mm
1250mm
1500mm
2000mm</t>
        </r>
      </text>
    </comment>
    <comment ref="R27" authorId="0" shapeId="0" xr:uid="{00000000-0006-0000-0400-00000F010000}">
      <text>
        <r>
          <rPr>
            <sz val="8"/>
            <color indexed="81"/>
            <rFont val="Tahoma"/>
            <family val="2"/>
          </rPr>
          <t>Chain Colour options are; 
White
White Birch
Black
Nickel Plated Brass
Stainless Steel</t>
        </r>
      </text>
    </comment>
    <comment ref="S27" authorId="0" shapeId="0" xr:uid="{00000000-0006-0000-0400-000010010000}">
      <text>
        <r>
          <rPr>
            <sz val="8"/>
            <color indexed="81"/>
            <rFont val="Tahoma"/>
            <family val="2"/>
          </rPr>
          <t>When
 Standard or Common 
is selected the 
Pelmet Colour 
must be entered.</t>
        </r>
      </text>
    </comment>
    <comment ref="W27" authorId="0" shapeId="0" xr:uid="{00000000-0006-0000-0400-000011010000}">
      <text>
        <r>
          <rPr>
            <sz val="8"/>
            <color indexed="81"/>
            <rFont val="Tahoma"/>
            <family val="2"/>
          </rPr>
          <t>Bracket Options include:
All other options;
Standard
Double
Link
Double Link</t>
        </r>
      </text>
    </comment>
    <comment ref="X27" authorId="0" shapeId="0" xr:uid="{00000000-0006-0000-0400-000012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8" authorId="0" shapeId="0" xr:uid="{00000000-0006-0000-0400-000013010000}">
      <text>
        <r>
          <rPr>
            <sz val="8"/>
            <color indexed="81"/>
            <rFont val="Tahoma"/>
            <family val="2"/>
          </rPr>
          <t>Products options are;
London
Maui
Paris
Sunscreen</t>
        </r>
      </text>
    </comment>
    <comment ref="E28" authorId="0" shapeId="0" xr:uid="{00000000-0006-0000-0400-000014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8" authorId="0" shapeId="0" xr:uid="{00000000-0006-0000-0400-000015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8" authorId="0" shapeId="0" xr:uid="{00000000-0006-0000-0400-000016010000}">
      <text>
        <r>
          <rPr>
            <sz val="8"/>
            <color indexed="81"/>
            <rFont val="Tahoma"/>
            <family val="2"/>
          </rPr>
          <t xml:space="preserve">Minimum Height/Drop is 300mm.
Maximum Height/Drop is 3000mm. </t>
        </r>
      </text>
    </comment>
    <comment ref="H28" authorId="0" shapeId="0" xr:uid="{00000000-0006-0000-0400-000017010000}">
      <text>
        <r>
          <rPr>
            <sz val="8"/>
            <color indexed="81"/>
            <rFont val="Tahoma"/>
            <family val="2"/>
          </rPr>
          <t>When selecting a
Corner or Bay 
Window Type, 
the 
CMB Corner WS 
or 
CMB Bay WS 
must be completed.</t>
        </r>
      </text>
    </comment>
    <comment ref="J28" authorId="0" shapeId="0" xr:uid="{00000000-0006-0000-0400-000018010000}">
      <text>
        <r>
          <rPr>
            <sz val="8"/>
            <color indexed="81"/>
            <rFont val="Tahoma"/>
            <family val="2"/>
          </rPr>
          <t>ACT 
Actual Measurements
You have made the allowances.
NAM
No Allowances Made 
The factory will make the deductions.</t>
        </r>
      </text>
    </comment>
    <comment ref="M28" authorId="0" shapeId="0" xr:uid="{00000000-0006-0000-0400-000019010000}">
      <text>
        <r>
          <rPr>
            <sz val="8"/>
            <color indexed="81"/>
            <rFont val="Tahoma"/>
            <family val="2"/>
          </rPr>
          <t xml:space="preserve">
Bottom Rail Colour options;
Clear Anodised
Metallic Black
Mocha
White
White Birch</t>
        </r>
      </text>
    </comment>
    <comment ref="O28" authorId="0" shapeId="0" xr:uid="{00000000-0006-0000-0400-00001A010000}">
      <text>
        <r>
          <rPr>
            <sz val="8"/>
            <color indexed="81"/>
            <rFont val="Tahoma"/>
            <family val="2"/>
          </rPr>
          <t>Control Options are;
Left
Right
When Bracket Type is Link Together, 
Left or Right can only be selected once per Linked Set.</t>
        </r>
      </text>
    </comment>
    <comment ref="Q28" authorId="0" shapeId="0" xr:uid="{00000000-0006-0000-0400-00001B010000}">
      <text>
        <r>
          <rPr>
            <sz val="8"/>
            <color indexed="81"/>
            <rFont val="Tahoma"/>
            <family val="2"/>
          </rPr>
          <t>Chain Length options are; 
Default
500mm
750mm
1000mm
1250mm
1500mm
2000mm</t>
        </r>
      </text>
    </comment>
    <comment ref="R28" authorId="0" shapeId="0" xr:uid="{00000000-0006-0000-0400-00001C010000}">
      <text>
        <r>
          <rPr>
            <sz val="8"/>
            <color indexed="81"/>
            <rFont val="Tahoma"/>
            <family val="2"/>
          </rPr>
          <t>Chain Colour options are; 
White
White Birch
Black
Nickel Plated Brass
Stainless Steel</t>
        </r>
      </text>
    </comment>
    <comment ref="S28" authorId="0" shapeId="0" xr:uid="{00000000-0006-0000-0400-00001D010000}">
      <text>
        <r>
          <rPr>
            <sz val="8"/>
            <color indexed="81"/>
            <rFont val="Tahoma"/>
            <family val="2"/>
          </rPr>
          <t>When
 Standard or Common 
is selected the 
Pelmet Colour 
must be entered.</t>
        </r>
      </text>
    </comment>
    <comment ref="W28" authorId="0" shapeId="0" xr:uid="{00000000-0006-0000-0400-00001E010000}">
      <text>
        <r>
          <rPr>
            <sz val="8"/>
            <color indexed="81"/>
            <rFont val="Tahoma"/>
            <family val="2"/>
          </rPr>
          <t>Bracket Options include:
All other options;
Standard
Double
Link
Double Link</t>
        </r>
      </text>
    </comment>
    <comment ref="X28" authorId="0" shapeId="0" xr:uid="{00000000-0006-0000-0400-00001F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9" authorId="0" shapeId="0" xr:uid="{00000000-0006-0000-0400-000020010000}">
      <text>
        <r>
          <rPr>
            <sz val="8"/>
            <color indexed="81"/>
            <rFont val="Tahoma"/>
            <family val="2"/>
          </rPr>
          <t>Products options are;
London
Maui
Paris
Sunscreen</t>
        </r>
      </text>
    </comment>
    <comment ref="E29" authorId="0" shapeId="0" xr:uid="{00000000-0006-0000-0400-000021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9" authorId="0" shapeId="0" xr:uid="{00000000-0006-0000-0400-000022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9" authorId="0" shapeId="0" xr:uid="{00000000-0006-0000-0400-000023010000}">
      <text>
        <r>
          <rPr>
            <sz val="8"/>
            <color indexed="81"/>
            <rFont val="Tahoma"/>
            <family val="2"/>
          </rPr>
          <t xml:space="preserve">Minimum Height/Drop is 300mm.
Maximum Height/Drop is 3000mm. </t>
        </r>
      </text>
    </comment>
    <comment ref="H29" authorId="0" shapeId="0" xr:uid="{00000000-0006-0000-0400-000024010000}">
      <text>
        <r>
          <rPr>
            <sz val="8"/>
            <color indexed="81"/>
            <rFont val="Tahoma"/>
            <family val="2"/>
          </rPr>
          <t>When selecting a
Corner or Bay 
Window Type, 
the 
CMB Corner WS 
or 
CMB Bay WS 
must be completed.</t>
        </r>
      </text>
    </comment>
    <comment ref="J29" authorId="0" shapeId="0" xr:uid="{00000000-0006-0000-0400-000025010000}">
      <text>
        <r>
          <rPr>
            <sz val="8"/>
            <color indexed="81"/>
            <rFont val="Tahoma"/>
            <family val="2"/>
          </rPr>
          <t>ACT 
Actual Measurements
You have made the allowances.
NAM
No Allowances Made 
The factory will make the deductions.</t>
        </r>
      </text>
    </comment>
    <comment ref="M29" authorId="0" shapeId="0" xr:uid="{00000000-0006-0000-0400-000026010000}">
      <text>
        <r>
          <rPr>
            <sz val="8"/>
            <color indexed="81"/>
            <rFont val="Tahoma"/>
            <family val="2"/>
          </rPr>
          <t xml:space="preserve">
Bottom Rail Colour options;
Clear Anodised
Metallic Black
Mocha
White
White Birch</t>
        </r>
      </text>
    </comment>
    <comment ref="O29" authorId="0" shapeId="0" xr:uid="{00000000-0006-0000-0400-000027010000}">
      <text>
        <r>
          <rPr>
            <sz val="8"/>
            <color indexed="81"/>
            <rFont val="Tahoma"/>
            <family val="2"/>
          </rPr>
          <t>Control Options are;
Left
Right
When Bracket Type is Link Together, 
Left or Right can only be selected once per Linked Set.</t>
        </r>
      </text>
    </comment>
    <comment ref="Q29" authorId="0" shapeId="0" xr:uid="{00000000-0006-0000-0400-000028010000}">
      <text>
        <r>
          <rPr>
            <sz val="8"/>
            <color indexed="81"/>
            <rFont val="Tahoma"/>
            <family val="2"/>
          </rPr>
          <t>Chain Length options are; 
Default
500mm
750mm
1000mm
1250mm
1500mm
2000mm</t>
        </r>
      </text>
    </comment>
    <comment ref="R29" authorId="0" shapeId="0" xr:uid="{00000000-0006-0000-0400-000029010000}">
      <text>
        <r>
          <rPr>
            <sz val="8"/>
            <color indexed="81"/>
            <rFont val="Tahoma"/>
            <family val="2"/>
          </rPr>
          <t>Chain Colour options are; 
White
White Birch
Black
Nickel Plated Brass
Stainless Steel</t>
        </r>
      </text>
    </comment>
    <comment ref="S29" authorId="0" shapeId="0" xr:uid="{00000000-0006-0000-0400-00002A010000}">
      <text>
        <r>
          <rPr>
            <sz val="8"/>
            <color indexed="81"/>
            <rFont val="Tahoma"/>
            <family val="2"/>
          </rPr>
          <t>When
 Standard or Common 
is selected the 
Pelmet Colour 
must be entered.</t>
        </r>
      </text>
    </comment>
    <comment ref="W29" authorId="0" shapeId="0" xr:uid="{00000000-0006-0000-0400-00002B010000}">
      <text>
        <r>
          <rPr>
            <sz val="8"/>
            <color indexed="81"/>
            <rFont val="Tahoma"/>
            <family val="2"/>
          </rPr>
          <t>Bracket Options include:
All other options;
Standard
Double
Link
Double Link</t>
        </r>
      </text>
    </comment>
    <comment ref="X29" authorId="0" shapeId="0" xr:uid="{00000000-0006-0000-0400-00002C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0" authorId="0" shapeId="0" xr:uid="{00000000-0006-0000-0400-00002D010000}">
      <text>
        <r>
          <rPr>
            <sz val="8"/>
            <color indexed="81"/>
            <rFont val="Tahoma"/>
            <family val="2"/>
          </rPr>
          <t>Products options are;
London
Maui
Paris
Sunscreen</t>
        </r>
      </text>
    </comment>
    <comment ref="E30" authorId="0" shapeId="0" xr:uid="{00000000-0006-0000-0400-00002E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0" authorId="0" shapeId="0" xr:uid="{00000000-0006-0000-0400-00002F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0" authorId="0" shapeId="0" xr:uid="{00000000-0006-0000-0400-000030010000}">
      <text>
        <r>
          <rPr>
            <sz val="8"/>
            <color indexed="81"/>
            <rFont val="Tahoma"/>
            <family val="2"/>
          </rPr>
          <t xml:space="preserve">Minimum Height/Drop is 300mm.
Maximum Height/Drop is 3000mm. </t>
        </r>
      </text>
    </comment>
    <comment ref="H30" authorId="0" shapeId="0" xr:uid="{00000000-0006-0000-0400-000031010000}">
      <text>
        <r>
          <rPr>
            <sz val="8"/>
            <color indexed="81"/>
            <rFont val="Tahoma"/>
            <family val="2"/>
          </rPr>
          <t>When selecting a
Corner or Bay 
Window Type, 
the 
CMB Corner WS 
or 
CMB Bay WS 
must be completed.</t>
        </r>
      </text>
    </comment>
    <comment ref="J30" authorId="0" shapeId="0" xr:uid="{00000000-0006-0000-0400-000032010000}">
      <text>
        <r>
          <rPr>
            <sz val="8"/>
            <color indexed="81"/>
            <rFont val="Tahoma"/>
            <family val="2"/>
          </rPr>
          <t>ACT 
Actual Measurements
You have made the allowances.
NAM
No Allowances Made 
The factory will make the deductions.</t>
        </r>
      </text>
    </comment>
    <comment ref="M30" authorId="0" shapeId="0" xr:uid="{00000000-0006-0000-0400-000033010000}">
      <text>
        <r>
          <rPr>
            <sz val="8"/>
            <color indexed="81"/>
            <rFont val="Tahoma"/>
            <family val="2"/>
          </rPr>
          <t xml:space="preserve">
Bottom Rail Colour options;
Clear Anodised
Metallic Black
Mocha
White
White Birch</t>
        </r>
      </text>
    </comment>
    <comment ref="O30" authorId="0" shapeId="0" xr:uid="{00000000-0006-0000-0400-000034010000}">
      <text>
        <r>
          <rPr>
            <sz val="8"/>
            <color indexed="81"/>
            <rFont val="Tahoma"/>
            <family val="2"/>
          </rPr>
          <t>Control Options are;
Left
Right
When Bracket Type is Link Together, 
Left or Right can only be selected once per Linked Set.</t>
        </r>
      </text>
    </comment>
    <comment ref="Q30" authorId="0" shapeId="0" xr:uid="{00000000-0006-0000-0400-000035010000}">
      <text>
        <r>
          <rPr>
            <sz val="8"/>
            <color indexed="81"/>
            <rFont val="Tahoma"/>
            <family val="2"/>
          </rPr>
          <t>Chain Length options are; 
Default
500mm
750mm
1000mm
1250mm
1500mm
2000mm</t>
        </r>
      </text>
    </comment>
    <comment ref="R30" authorId="0" shapeId="0" xr:uid="{00000000-0006-0000-0400-000036010000}">
      <text>
        <r>
          <rPr>
            <sz val="8"/>
            <color indexed="81"/>
            <rFont val="Tahoma"/>
            <family val="2"/>
          </rPr>
          <t>Chain Colour options are; 
White
White Birch
Black
Nickel Plated Brass
Stainless Steel</t>
        </r>
      </text>
    </comment>
    <comment ref="S30" authorId="0" shapeId="0" xr:uid="{00000000-0006-0000-0400-000037010000}">
      <text>
        <r>
          <rPr>
            <sz val="8"/>
            <color indexed="81"/>
            <rFont val="Tahoma"/>
            <family val="2"/>
          </rPr>
          <t>When
 Standard or Common 
is selected the 
Pelmet Colour 
must be entered.</t>
        </r>
      </text>
    </comment>
    <comment ref="W30" authorId="0" shapeId="0" xr:uid="{00000000-0006-0000-0400-000038010000}">
      <text>
        <r>
          <rPr>
            <sz val="8"/>
            <color indexed="81"/>
            <rFont val="Tahoma"/>
            <family val="2"/>
          </rPr>
          <t>Bracket Options include:
All other options;
Standard
Double
Link
Double Link</t>
        </r>
      </text>
    </comment>
    <comment ref="X30" authorId="0" shapeId="0" xr:uid="{00000000-0006-0000-0400-000039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1" authorId="0" shapeId="0" xr:uid="{00000000-0006-0000-0400-00003A010000}">
      <text>
        <r>
          <rPr>
            <sz val="8"/>
            <color indexed="81"/>
            <rFont val="Tahoma"/>
            <family val="2"/>
          </rPr>
          <t>Products options are;
London
Maui
Paris
Sunscreen</t>
        </r>
      </text>
    </comment>
    <comment ref="E31" authorId="0" shapeId="0" xr:uid="{00000000-0006-0000-0400-00003B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1" authorId="0" shapeId="0" xr:uid="{00000000-0006-0000-0400-00003C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1" authorId="0" shapeId="0" xr:uid="{00000000-0006-0000-0400-00003D010000}">
      <text>
        <r>
          <rPr>
            <sz val="8"/>
            <color indexed="81"/>
            <rFont val="Tahoma"/>
            <family val="2"/>
          </rPr>
          <t xml:space="preserve">Minimum Height/Drop is 300mm.
Maximum Height/Drop is 3000mm. </t>
        </r>
      </text>
    </comment>
    <comment ref="H31" authorId="0" shapeId="0" xr:uid="{00000000-0006-0000-0400-00003E010000}">
      <text>
        <r>
          <rPr>
            <sz val="8"/>
            <color indexed="81"/>
            <rFont val="Tahoma"/>
            <family val="2"/>
          </rPr>
          <t>When selecting a
Corner or Bay 
Window Type, 
the 
CMB Corner WS 
or 
CMB Bay WS 
must be completed.</t>
        </r>
      </text>
    </comment>
    <comment ref="J31" authorId="0" shapeId="0" xr:uid="{00000000-0006-0000-0400-00003F010000}">
      <text>
        <r>
          <rPr>
            <sz val="8"/>
            <color indexed="81"/>
            <rFont val="Tahoma"/>
            <family val="2"/>
          </rPr>
          <t>ACT 
Actual Measurements
You have made the allowances.
NAM
No Allowances Made 
The factory will make the deductions.</t>
        </r>
      </text>
    </comment>
    <comment ref="M31" authorId="0" shapeId="0" xr:uid="{00000000-0006-0000-0400-000040010000}">
      <text>
        <r>
          <rPr>
            <sz val="8"/>
            <color indexed="81"/>
            <rFont val="Tahoma"/>
            <family val="2"/>
          </rPr>
          <t xml:space="preserve">
Bottom Rail Colour options;
Clear Anodised
Metallic Black
Mocha
White
White Birch</t>
        </r>
      </text>
    </comment>
    <comment ref="O31" authorId="0" shapeId="0" xr:uid="{00000000-0006-0000-0400-000041010000}">
      <text>
        <r>
          <rPr>
            <sz val="8"/>
            <color indexed="81"/>
            <rFont val="Tahoma"/>
            <family val="2"/>
          </rPr>
          <t>Control Options are;
Left
Right
When Bracket Type is Link Together, 
Left or Right can only be selected once per Linked Set.</t>
        </r>
      </text>
    </comment>
    <comment ref="Q31" authorId="0" shapeId="0" xr:uid="{00000000-0006-0000-0400-000042010000}">
      <text>
        <r>
          <rPr>
            <sz val="8"/>
            <color indexed="81"/>
            <rFont val="Tahoma"/>
            <family val="2"/>
          </rPr>
          <t>Chain Length options are; 
Default
500mm
750mm
1000mm
1250mm
1500mm
2000mm</t>
        </r>
      </text>
    </comment>
    <comment ref="R31" authorId="0" shapeId="0" xr:uid="{00000000-0006-0000-0400-000043010000}">
      <text>
        <r>
          <rPr>
            <sz val="8"/>
            <color indexed="81"/>
            <rFont val="Tahoma"/>
            <family val="2"/>
          </rPr>
          <t>Chain Colour options are; 
White
White Birch
Black
Nickel Plated Brass
Stainless Steel</t>
        </r>
      </text>
    </comment>
    <comment ref="S31" authorId="0" shapeId="0" xr:uid="{00000000-0006-0000-0400-000044010000}">
      <text>
        <r>
          <rPr>
            <sz val="8"/>
            <color indexed="81"/>
            <rFont val="Tahoma"/>
            <family val="2"/>
          </rPr>
          <t>When
 Standard or Common 
is selected the 
Pelmet Colour 
must be entered.</t>
        </r>
      </text>
    </comment>
    <comment ref="W31" authorId="0" shapeId="0" xr:uid="{00000000-0006-0000-0400-000045010000}">
      <text>
        <r>
          <rPr>
            <sz val="8"/>
            <color indexed="81"/>
            <rFont val="Tahoma"/>
            <family val="2"/>
          </rPr>
          <t>Bracket Options include:
All other options;
Standard
Double
Link
Double Link</t>
        </r>
      </text>
    </comment>
    <comment ref="X31" authorId="0" shapeId="0" xr:uid="{00000000-0006-0000-0400-000046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2" authorId="0" shapeId="0" xr:uid="{00000000-0006-0000-0400-000047010000}">
      <text>
        <r>
          <rPr>
            <sz val="8"/>
            <color indexed="81"/>
            <rFont val="Tahoma"/>
            <family val="2"/>
          </rPr>
          <t>Products options are;
London
Maui
Paris
Sunscreen</t>
        </r>
      </text>
    </comment>
    <comment ref="E32" authorId="0" shapeId="0" xr:uid="{00000000-0006-0000-0400-000048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2" authorId="0" shapeId="0" xr:uid="{00000000-0006-0000-0400-000049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2" authorId="0" shapeId="0" xr:uid="{00000000-0006-0000-0400-00004A010000}">
      <text>
        <r>
          <rPr>
            <sz val="8"/>
            <color indexed="81"/>
            <rFont val="Tahoma"/>
            <family val="2"/>
          </rPr>
          <t xml:space="preserve">Minimum Height/Drop is 300mm.
Maximum Height/Drop is 3000mm. </t>
        </r>
      </text>
    </comment>
    <comment ref="H32" authorId="0" shapeId="0" xr:uid="{00000000-0006-0000-0400-00004B010000}">
      <text>
        <r>
          <rPr>
            <sz val="8"/>
            <color indexed="81"/>
            <rFont val="Tahoma"/>
            <family val="2"/>
          </rPr>
          <t>When selecting a
Corner or Bay 
Window Type, 
the 
CMB Corner WS 
or 
CMB Bay WS 
must be completed.</t>
        </r>
      </text>
    </comment>
    <comment ref="J32" authorId="0" shapeId="0" xr:uid="{00000000-0006-0000-0400-00004C010000}">
      <text>
        <r>
          <rPr>
            <sz val="8"/>
            <color indexed="81"/>
            <rFont val="Tahoma"/>
            <family val="2"/>
          </rPr>
          <t>ACT 
Actual Measurements
You have made the allowances.
NAM
No Allowances Made 
The factory will make the deductions.</t>
        </r>
      </text>
    </comment>
    <comment ref="M32" authorId="0" shapeId="0" xr:uid="{00000000-0006-0000-0400-00004D010000}">
      <text>
        <r>
          <rPr>
            <sz val="8"/>
            <color indexed="81"/>
            <rFont val="Tahoma"/>
            <family val="2"/>
          </rPr>
          <t xml:space="preserve">
Bottom Rail Colour options;
Clear Anodised
Metallic Black
Mocha
White
White Birch</t>
        </r>
      </text>
    </comment>
    <comment ref="O32" authorId="0" shapeId="0" xr:uid="{00000000-0006-0000-0400-00004E010000}">
      <text>
        <r>
          <rPr>
            <sz val="8"/>
            <color indexed="81"/>
            <rFont val="Tahoma"/>
            <family val="2"/>
          </rPr>
          <t>Control Options are;
Left
Right
When Bracket Type is Link Together, 
Left or Right can only be selected once per Linked Set.</t>
        </r>
      </text>
    </comment>
    <comment ref="Q32" authorId="0" shapeId="0" xr:uid="{00000000-0006-0000-0400-00004F010000}">
      <text>
        <r>
          <rPr>
            <sz val="8"/>
            <color indexed="81"/>
            <rFont val="Tahoma"/>
            <family val="2"/>
          </rPr>
          <t>Chain Length options are; 
Default
500mm
750mm
1000mm
1250mm
1500mm
2000mm</t>
        </r>
      </text>
    </comment>
    <comment ref="R32" authorId="0" shapeId="0" xr:uid="{00000000-0006-0000-0400-000050010000}">
      <text>
        <r>
          <rPr>
            <sz val="8"/>
            <color indexed="81"/>
            <rFont val="Tahoma"/>
            <family val="2"/>
          </rPr>
          <t>Chain Colour options are; 
White
White Birch
Black
Nickel Plated Brass
Stainless Steel</t>
        </r>
      </text>
    </comment>
    <comment ref="S32" authorId="0" shapeId="0" xr:uid="{00000000-0006-0000-0400-000051010000}">
      <text>
        <r>
          <rPr>
            <sz val="8"/>
            <color indexed="81"/>
            <rFont val="Tahoma"/>
            <family val="2"/>
          </rPr>
          <t>When
 Standard or Common 
is selected the 
Pelmet Colour 
must be entered.</t>
        </r>
      </text>
    </comment>
    <comment ref="W32" authorId="0" shapeId="0" xr:uid="{00000000-0006-0000-0400-000052010000}">
      <text>
        <r>
          <rPr>
            <sz val="8"/>
            <color indexed="81"/>
            <rFont val="Tahoma"/>
            <family val="2"/>
          </rPr>
          <t>Bracket Options include:
All other options;
Standard
Double
Link
Double Link</t>
        </r>
      </text>
    </comment>
    <comment ref="X32" authorId="0" shapeId="0" xr:uid="{00000000-0006-0000-0400-000053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3" authorId="0" shapeId="0" xr:uid="{00000000-0006-0000-0400-000054010000}">
      <text>
        <r>
          <rPr>
            <sz val="8"/>
            <color indexed="81"/>
            <rFont val="Tahoma"/>
            <family val="2"/>
          </rPr>
          <t>Products options are;
London
Maui
Paris
Sunscreen</t>
        </r>
      </text>
    </comment>
    <comment ref="E33" authorId="0" shapeId="0" xr:uid="{00000000-0006-0000-0400-000055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3" authorId="0" shapeId="0" xr:uid="{00000000-0006-0000-0400-000056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3" authorId="0" shapeId="0" xr:uid="{00000000-0006-0000-0400-000057010000}">
      <text>
        <r>
          <rPr>
            <sz val="8"/>
            <color indexed="81"/>
            <rFont val="Tahoma"/>
            <family val="2"/>
          </rPr>
          <t xml:space="preserve">Minimum Height/Drop is 300mm.
Maximum Height/Drop is 3000mm. </t>
        </r>
      </text>
    </comment>
    <comment ref="H33" authorId="0" shapeId="0" xr:uid="{00000000-0006-0000-0400-000058010000}">
      <text>
        <r>
          <rPr>
            <sz val="8"/>
            <color indexed="81"/>
            <rFont val="Tahoma"/>
            <family val="2"/>
          </rPr>
          <t>When selecting a
Corner or Bay 
Window Type, 
the 
CMB Corner WS 
or 
CMB Bay WS 
must be completed.</t>
        </r>
      </text>
    </comment>
    <comment ref="J33" authorId="0" shapeId="0" xr:uid="{00000000-0006-0000-0400-000059010000}">
      <text>
        <r>
          <rPr>
            <sz val="8"/>
            <color indexed="81"/>
            <rFont val="Tahoma"/>
            <family val="2"/>
          </rPr>
          <t>ACT 
Actual Measurements
You have made the allowances.
NAM
No Allowances Made 
The factory will make the deductions.</t>
        </r>
      </text>
    </comment>
    <comment ref="M33" authorId="0" shapeId="0" xr:uid="{00000000-0006-0000-0400-00005A010000}">
      <text>
        <r>
          <rPr>
            <sz val="8"/>
            <color indexed="81"/>
            <rFont val="Tahoma"/>
            <family val="2"/>
          </rPr>
          <t xml:space="preserve">
Bottom Rail Colour options;
Clear Anodised
Metallic Black
Mocha
White
White Birch</t>
        </r>
      </text>
    </comment>
    <comment ref="O33" authorId="0" shapeId="0" xr:uid="{00000000-0006-0000-0400-00005B010000}">
      <text>
        <r>
          <rPr>
            <sz val="8"/>
            <color indexed="81"/>
            <rFont val="Tahoma"/>
            <family val="2"/>
          </rPr>
          <t>Control Options are;
Left
Right
When Bracket Type is Link Together, 
Left or Right can only be selected once per Linked Set.</t>
        </r>
      </text>
    </comment>
    <comment ref="Q33" authorId="0" shapeId="0" xr:uid="{00000000-0006-0000-0400-00005C010000}">
      <text>
        <r>
          <rPr>
            <sz val="8"/>
            <color indexed="81"/>
            <rFont val="Tahoma"/>
            <family val="2"/>
          </rPr>
          <t>Chain Length options are; 
Default
500mm
750mm
1000mm
1250mm
1500mm
2000mm</t>
        </r>
      </text>
    </comment>
    <comment ref="R33" authorId="0" shapeId="0" xr:uid="{00000000-0006-0000-0400-00005D010000}">
      <text>
        <r>
          <rPr>
            <sz val="8"/>
            <color indexed="81"/>
            <rFont val="Tahoma"/>
            <family val="2"/>
          </rPr>
          <t>Chain Colour options are; 
White
White Birch
Black
Nickel Plated Brass
Stainless Steel</t>
        </r>
      </text>
    </comment>
    <comment ref="S33" authorId="0" shapeId="0" xr:uid="{00000000-0006-0000-0400-00005E010000}">
      <text>
        <r>
          <rPr>
            <sz val="8"/>
            <color indexed="81"/>
            <rFont val="Tahoma"/>
            <family val="2"/>
          </rPr>
          <t>When
 Standard or Common 
is selected the 
Pelmet Colour 
must be entered.</t>
        </r>
      </text>
    </comment>
    <comment ref="W33" authorId="0" shapeId="0" xr:uid="{00000000-0006-0000-0400-00005F010000}">
      <text>
        <r>
          <rPr>
            <sz val="8"/>
            <color indexed="81"/>
            <rFont val="Tahoma"/>
            <family val="2"/>
          </rPr>
          <t>Bracket Options include:
All other options;
Standard
Double
Link
Double Link</t>
        </r>
      </text>
    </comment>
    <comment ref="X33" authorId="0" shapeId="0" xr:uid="{00000000-0006-0000-0400-000060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4" authorId="0" shapeId="0" xr:uid="{00000000-0006-0000-0400-000061010000}">
      <text>
        <r>
          <rPr>
            <sz val="8"/>
            <color indexed="81"/>
            <rFont val="Tahoma"/>
            <family val="2"/>
          </rPr>
          <t>Products options are;
London
Maui
Paris
Sunscreen</t>
        </r>
      </text>
    </comment>
    <comment ref="E34" authorId="0" shapeId="0" xr:uid="{00000000-0006-0000-0400-000062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4" authorId="0" shapeId="0" xr:uid="{00000000-0006-0000-0400-000063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4" authorId="0" shapeId="0" xr:uid="{00000000-0006-0000-0400-000064010000}">
      <text>
        <r>
          <rPr>
            <sz val="8"/>
            <color indexed="81"/>
            <rFont val="Tahoma"/>
            <family val="2"/>
          </rPr>
          <t xml:space="preserve">Minimum Height/Drop is 300mm.
Maximum Height/Drop is 3000mm. </t>
        </r>
      </text>
    </comment>
    <comment ref="H34" authorId="0" shapeId="0" xr:uid="{00000000-0006-0000-0400-000065010000}">
      <text>
        <r>
          <rPr>
            <sz val="8"/>
            <color indexed="81"/>
            <rFont val="Tahoma"/>
            <family val="2"/>
          </rPr>
          <t>When selecting a
Corner or Bay 
Window Type, 
the 
CMB Corner WS 
or 
CMB Bay WS 
must be completed.</t>
        </r>
      </text>
    </comment>
    <comment ref="J34" authorId="0" shapeId="0" xr:uid="{00000000-0006-0000-0400-000066010000}">
      <text>
        <r>
          <rPr>
            <sz val="8"/>
            <color indexed="81"/>
            <rFont val="Tahoma"/>
            <family val="2"/>
          </rPr>
          <t>ACT 
Actual Measurements
You have made the allowances.
NAM
No Allowances Made 
The factory will make the deductions.</t>
        </r>
      </text>
    </comment>
    <comment ref="M34" authorId="0" shapeId="0" xr:uid="{00000000-0006-0000-0400-000067010000}">
      <text>
        <r>
          <rPr>
            <sz val="8"/>
            <color indexed="81"/>
            <rFont val="Tahoma"/>
            <family val="2"/>
          </rPr>
          <t xml:space="preserve">
Bottom Rail Colour options;
Clear Anodised
Metallic Black
Mocha
White
White Birch</t>
        </r>
      </text>
    </comment>
    <comment ref="O34" authorId="0" shapeId="0" xr:uid="{00000000-0006-0000-0400-000068010000}">
      <text>
        <r>
          <rPr>
            <sz val="8"/>
            <color indexed="81"/>
            <rFont val="Tahoma"/>
            <family val="2"/>
          </rPr>
          <t>Control Options are;
Left
Right
When Bracket Type is Link Together, 
Left or Right can only be selected once per Linked Set.</t>
        </r>
      </text>
    </comment>
    <comment ref="Q34" authorId="0" shapeId="0" xr:uid="{00000000-0006-0000-0400-000069010000}">
      <text>
        <r>
          <rPr>
            <sz val="8"/>
            <color indexed="81"/>
            <rFont val="Tahoma"/>
            <family val="2"/>
          </rPr>
          <t>Chain Length options are; 
Default
500mm
750mm
1000mm
1250mm
1500mm
2000mm</t>
        </r>
      </text>
    </comment>
    <comment ref="R34" authorId="0" shapeId="0" xr:uid="{00000000-0006-0000-0400-00006A010000}">
      <text>
        <r>
          <rPr>
            <sz val="8"/>
            <color indexed="81"/>
            <rFont val="Tahoma"/>
            <family val="2"/>
          </rPr>
          <t>Chain Colour options are; 
White
White Birch
Black
Nickel Plated Brass
Stainless Steel</t>
        </r>
      </text>
    </comment>
    <comment ref="S34" authorId="0" shapeId="0" xr:uid="{00000000-0006-0000-0400-00006B010000}">
      <text>
        <r>
          <rPr>
            <sz val="8"/>
            <color indexed="81"/>
            <rFont val="Tahoma"/>
            <family val="2"/>
          </rPr>
          <t>When
 Standard or Common 
is selected the 
Pelmet Colour 
must be entered.</t>
        </r>
      </text>
    </comment>
    <comment ref="W34" authorId="0" shapeId="0" xr:uid="{00000000-0006-0000-0400-00006C010000}">
      <text>
        <r>
          <rPr>
            <sz val="8"/>
            <color indexed="81"/>
            <rFont val="Tahoma"/>
            <family val="2"/>
          </rPr>
          <t>Bracket Options include:
All other options;
Standard
Double
Link
Double Link</t>
        </r>
      </text>
    </comment>
    <comment ref="X34" authorId="0" shapeId="0" xr:uid="{00000000-0006-0000-0400-00006D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5" authorId="0" shapeId="0" xr:uid="{00000000-0006-0000-0400-00006E010000}">
      <text>
        <r>
          <rPr>
            <sz val="8"/>
            <color indexed="81"/>
            <rFont val="Tahoma"/>
            <family val="2"/>
          </rPr>
          <t>Products options are;
London
Maui
Paris
Sunscreen</t>
        </r>
      </text>
    </comment>
    <comment ref="E35" authorId="0" shapeId="0" xr:uid="{00000000-0006-0000-0400-00006F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5" authorId="0" shapeId="0" xr:uid="{00000000-0006-0000-0400-000070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5" authorId="0" shapeId="0" xr:uid="{00000000-0006-0000-0400-000071010000}">
      <text>
        <r>
          <rPr>
            <sz val="8"/>
            <color indexed="81"/>
            <rFont val="Tahoma"/>
            <family val="2"/>
          </rPr>
          <t xml:space="preserve">Minimum Height/Drop is 300mm.
Maximum Height/Drop is 3000mm. </t>
        </r>
      </text>
    </comment>
    <comment ref="H35" authorId="0" shapeId="0" xr:uid="{00000000-0006-0000-0400-000072010000}">
      <text>
        <r>
          <rPr>
            <sz val="8"/>
            <color indexed="81"/>
            <rFont val="Tahoma"/>
            <family val="2"/>
          </rPr>
          <t>When selecting a
Corner or Bay 
Window Type, 
the 
CMB Corner WS 
or 
CMB Bay WS 
must be completed.</t>
        </r>
      </text>
    </comment>
    <comment ref="J35" authorId="0" shapeId="0" xr:uid="{00000000-0006-0000-0400-000073010000}">
      <text>
        <r>
          <rPr>
            <sz val="8"/>
            <color indexed="81"/>
            <rFont val="Tahoma"/>
            <family val="2"/>
          </rPr>
          <t>ACT 
Actual Measurements
You have made the allowances.
NAM
No Allowances Made 
The factory will make the deductions.</t>
        </r>
      </text>
    </comment>
    <comment ref="M35" authorId="0" shapeId="0" xr:uid="{00000000-0006-0000-0400-000074010000}">
      <text>
        <r>
          <rPr>
            <sz val="8"/>
            <color indexed="81"/>
            <rFont val="Tahoma"/>
            <family val="2"/>
          </rPr>
          <t xml:space="preserve">
Bottom Rail Colour options;
Clear Anodised
Metallic Black
Mocha
White
White Birch</t>
        </r>
      </text>
    </comment>
    <comment ref="O35" authorId="0" shapeId="0" xr:uid="{00000000-0006-0000-0400-000075010000}">
      <text>
        <r>
          <rPr>
            <sz val="8"/>
            <color indexed="81"/>
            <rFont val="Tahoma"/>
            <family val="2"/>
          </rPr>
          <t>Control Options are;
Left
Right
When Bracket Type is Link Together, 
Left or Right can only be selected once per Linked Set.</t>
        </r>
      </text>
    </comment>
    <comment ref="Q35" authorId="0" shapeId="0" xr:uid="{00000000-0006-0000-0400-000076010000}">
      <text>
        <r>
          <rPr>
            <sz val="8"/>
            <color indexed="81"/>
            <rFont val="Tahoma"/>
            <family val="2"/>
          </rPr>
          <t>Chain Length options are; 
Default
500mm
750mm
1000mm
1250mm
1500mm
2000mm</t>
        </r>
      </text>
    </comment>
    <comment ref="R35" authorId="0" shapeId="0" xr:uid="{00000000-0006-0000-0400-000077010000}">
      <text>
        <r>
          <rPr>
            <sz val="8"/>
            <color indexed="81"/>
            <rFont val="Tahoma"/>
            <family val="2"/>
          </rPr>
          <t>Chain Colour options are; 
White
White Birch
Black
Nickel Plated Brass
Stainless Steel</t>
        </r>
      </text>
    </comment>
    <comment ref="S35" authorId="0" shapeId="0" xr:uid="{00000000-0006-0000-0400-000078010000}">
      <text>
        <r>
          <rPr>
            <sz val="8"/>
            <color indexed="81"/>
            <rFont val="Tahoma"/>
            <family val="2"/>
          </rPr>
          <t>When
 Standard or Common 
is selected the 
Pelmet Colour 
must be entered.</t>
        </r>
      </text>
    </comment>
    <comment ref="W35" authorId="0" shapeId="0" xr:uid="{00000000-0006-0000-0400-000079010000}">
      <text>
        <r>
          <rPr>
            <sz val="8"/>
            <color indexed="81"/>
            <rFont val="Tahoma"/>
            <family val="2"/>
          </rPr>
          <t>Bracket Options include:
All other options;
Standard
Double
Link
Double Link</t>
        </r>
      </text>
    </comment>
    <comment ref="X35" authorId="0" shapeId="0" xr:uid="{00000000-0006-0000-0400-00007A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6" authorId="0" shapeId="0" xr:uid="{00000000-0006-0000-0400-00007B010000}">
      <text>
        <r>
          <rPr>
            <sz val="8"/>
            <color indexed="81"/>
            <rFont val="Tahoma"/>
            <family val="2"/>
          </rPr>
          <t>Products options are;
London
Maui
Paris
Sunscreen</t>
        </r>
      </text>
    </comment>
    <comment ref="E36" authorId="0" shapeId="0" xr:uid="{00000000-0006-0000-0400-00007C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6" authorId="0" shapeId="0" xr:uid="{00000000-0006-0000-0400-00007D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6" authorId="0" shapeId="0" xr:uid="{00000000-0006-0000-0400-00007E010000}">
      <text>
        <r>
          <rPr>
            <sz val="8"/>
            <color indexed="81"/>
            <rFont val="Tahoma"/>
            <family val="2"/>
          </rPr>
          <t xml:space="preserve">Minimum Height/Drop is 300mm.
Maximum Height/Drop is 3000mm. </t>
        </r>
      </text>
    </comment>
    <comment ref="H36" authorId="0" shapeId="0" xr:uid="{00000000-0006-0000-0400-00007F010000}">
      <text>
        <r>
          <rPr>
            <sz val="8"/>
            <color indexed="81"/>
            <rFont val="Tahoma"/>
            <family val="2"/>
          </rPr>
          <t>When selecting a
Corner or Bay 
Window Type, 
the 
CMB Corner WS 
or 
CMB Bay WS 
must be completed.</t>
        </r>
      </text>
    </comment>
    <comment ref="J36" authorId="0" shapeId="0" xr:uid="{00000000-0006-0000-0400-000080010000}">
      <text>
        <r>
          <rPr>
            <sz val="8"/>
            <color indexed="81"/>
            <rFont val="Tahoma"/>
            <family val="2"/>
          </rPr>
          <t>ACT 
Actual Measurements
You have made the allowances.
NAM
No Allowances Made 
The factory will make the deductions.</t>
        </r>
      </text>
    </comment>
    <comment ref="M36" authorId="0" shapeId="0" xr:uid="{00000000-0006-0000-0400-000081010000}">
      <text>
        <r>
          <rPr>
            <sz val="8"/>
            <color indexed="81"/>
            <rFont val="Tahoma"/>
            <family val="2"/>
          </rPr>
          <t xml:space="preserve">
Bottom Rail Colour options;
Clear Anodised
Metallic Black
Mocha
White
White Birch</t>
        </r>
      </text>
    </comment>
    <comment ref="O36" authorId="0" shapeId="0" xr:uid="{00000000-0006-0000-0400-000082010000}">
      <text>
        <r>
          <rPr>
            <sz val="8"/>
            <color indexed="81"/>
            <rFont val="Tahoma"/>
            <family val="2"/>
          </rPr>
          <t>Control Options are;
Left
Right
When Bracket Type is Link Together, 
Left or Right can only be selected once per Linked Set.</t>
        </r>
      </text>
    </comment>
    <comment ref="Q36" authorId="0" shapeId="0" xr:uid="{00000000-0006-0000-0400-000083010000}">
      <text>
        <r>
          <rPr>
            <sz val="8"/>
            <color indexed="81"/>
            <rFont val="Tahoma"/>
            <family val="2"/>
          </rPr>
          <t>Chain Length options are; 
Default
500mm
750mm
1000mm
1250mm
1500mm
2000mm</t>
        </r>
      </text>
    </comment>
    <comment ref="R36" authorId="0" shapeId="0" xr:uid="{00000000-0006-0000-0400-000084010000}">
      <text>
        <r>
          <rPr>
            <sz val="8"/>
            <color indexed="81"/>
            <rFont val="Tahoma"/>
            <family val="2"/>
          </rPr>
          <t>Chain Colour options are; 
White
White Birch
Black
Nickel Plated Brass
Stainless Steel</t>
        </r>
      </text>
    </comment>
    <comment ref="S36" authorId="0" shapeId="0" xr:uid="{00000000-0006-0000-0400-000085010000}">
      <text>
        <r>
          <rPr>
            <sz val="8"/>
            <color indexed="81"/>
            <rFont val="Tahoma"/>
            <family val="2"/>
          </rPr>
          <t>When
 Standard or Common 
is selected the 
Pelmet Colour 
must be entered.</t>
        </r>
      </text>
    </comment>
    <comment ref="W36" authorId="0" shapeId="0" xr:uid="{00000000-0006-0000-0400-000086010000}">
      <text>
        <r>
          <rPr>
            <sz val="8"/>
            <color indexed="81"/>
            <rFont val="Tahoma"/>
            <family val="2"/>
          </rPr>
          <t>Bracket Options include:
All other options;
Standard
Double
Link
Double Link</t>
        </r>
      </text>
    </comment>
    <comment ref="X36" authorId="0" shapeId="0" xr:uid="{00000000-0006-0000-0400-000087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7" authorId="0" shapeId="0" xr:uid="{00000000-0006-0000-0400-000088010000}">
      <text>
        <r>
          <rPr>
            <sz val="8"/>
            <color indexed="81"/>
            <rFont val="Tahoma"/>
            <family val="2"/>
          </rPr>
          <t>Products options are;
London
Maui
Paris
Sunscreen</t>
        </r>
      </text>
    </comment>
    <comment ref="E37" authorId="0" shapeId="0" xr:uid="{00000000-0006-0000-0400-000089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7" authorId="0" shapeId="0" xr:uid="{00000000-0006-0000-0400-00008A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7" authorId="0" shapeId="0" xr:uid="{00000000-0006-0000-0400-00008B010000}">
      <text>
        <r>
          <rPr>
            <sz val="8"/>
            <color indexed="81"/>
            <rFont val="Tahoma"/>
            <family val="2"/>
          </rPr>
          <t xml:space="preserve">Minimum Height/Drop is 300mm.
Maximum Height/Drop is 3000mm. </t>
        </r>
      </text>
    </comment>
    <comment ref="H37" authorId="0" shapeId="0" xr:uid="{00000000-0006-0000-0400-00008C010000}">
      <text>
        <r>
          <rPr>
            <sz val="8"/>
            <color indexed="81"/>
            <rFont val="Tahoma"/>
            <family val="2"/>
          </rPr>
          <t>When selecting a
Corner or Bay 
Window Type, 
the 
CMB Corner WS 
or 
CMB Bay WS 
must be completed.</t>
        </r>
      </text>
    </comment>
    <comment ref="J37" authorId="0" shapeId="0" xr:uid="{00000000-0006-0000-0400-00008D010000}">
      <text>
        <r>
          <rPr>
            <sz val="8"/>
            <color indexed="81"/>
            <rFont val="Tahoma"/>
            <family val="2"/>
          </rPr>
          <t>ACT 
Actual Measurements
You have made the allowances.
NAM
No Allowances Made 
The factory will make the deductions.</t>
        </r>
      </text>
    </comment>
    <comment ref="M37" authorId="0" shapeId="0" xr:uid="{00000000-0006-0000-0400-00008E010000}">
      <text>
        <r>
          <rPr>
            <sz val="8"/>
            <color indexed="81"/>
            <rFont val="Tahoma"/>
            <family val="2"/>
          </rPr>
          <t xml:space="preserve">
Bottom Rail Colour options;
Clear Anodised
Metallic Black
Mocha
White
White Birch</t>
        </r>
      </text>
    </comment>
    <comment ref="O37" authorId="0" shapeId="0" xr:uid="{00000000-0006-0000-0400-00008F010000}">
      <text>
        <r>
          <rPr>
            <sz val="8"/>
            <color indexed="81"/>
            <rFont val="Tahoma"/>
            <family val="2"/>
          </rPr>
          <t>Control Options are;
Left
Right
When Bracket Type is Link Together, 
Left or Right can only be selected once per Linked Set.</t>
        </r>
      </text>
    </comment>
    <comment ref="Q37" authorId="0" shapeId="0" xr:uid="{00000000-0006-0000-0400-000090010000}">
      <text>
        <r>
          <rPr>
            <sz val="8"/>
            <color indexed="81"/>
            <rFont val="Tahoma"/>
            <family val="2"/>
          </rPr>
          <t>Chain Length options are; 
Default
500mm
750mm
1000mm
1250mm
1500mm
2000mm</t>
        </r>
      </text>
    </comment>
    <comment ref="R37" authorId="0" shapeId="0" xr:uid="{00000000-0006-0000-0400-000091010000}">
      <text>
        <r>
          <rPr>
            <sz val="8"/>
            <color indexed="81"/>
            <rFont val="Tahoma"/>
            <family val="2"/>
          </rPr>
          <t>Chain Colour options are; 
White
White Birch
Black
Nickel Plated Brass
Stainless Steel</t>
        </r>
      </text>
    </comment>
    <comment ref="S37" authorId="0" shapeId="0" xr:uid="{00000000-0006-0000-0400-000092010000}">
      <text>
        <r>
          <rPr>
            <sz val="8"/>
            <color indexed="81"/>
            <rFont val="Tahoma"/>
            <family val="2"/>
          </rPr>
          <t>When
 Standard or Common 
is selected the 
Pelmet Colour 
must be entered.</t>
        </r>
      </text>
    </comment>
    <comment ref="W37" authorId="0" shapeId="0" xr:uid="{00000000-0006-0000-0400-000093010000}">
      <text>
        <r>
          <rPr>
            <sz val="8"/>
            <color indexed="81"/>
            <rFont val="Tahoma"/>
            <family val="2"/>
          </rPr>
          <t>Bracket Options include:
All other options;
Standard
Double
Link
Double Link</t>
        </r>
      </text>
    </comment>
    <comment ref="X37" authorId="0" shapeId="0" xr:uid="{00000000-0006-0000-0400-000094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8" authorId="0" shapeId="0" xr:uid="{00000000-0006-0000-0400-000095010000}">
      <text>
        <r>
          <rPr>
            <sz val="8"/>
            <color indexed="81"/>
            <rFont val="Tahoma"/>
            <family val="2"/>
          </rPr>
          <t>Products options are;
London
Maui
Paris
Sunscreen</t>
        </r>
      </text>
    </comment>
    <comment ref="E38" authorId="0" shapeId="0" xr:uid="{00000000-0006-0000-0400-000096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8" authorId="0" shapeId="0" xr:uid="{00000000-0006-0000-0400-000097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8" authorId="0" shapeId="0" xr:uid="{00000000-0006-0000-0400-000098010000}">
      <text>
        <r>
          <rPr>
            <sz val="8"/>
            <color indexed="81"/>
            <rFont val="Tahoma"/>
            <family val="2"/>
          </rPr>
          <t xml:space="preserve">Minimum Height/Drop is 300mm.
Maximum Height/Drop is 3000mm. </t>
        </r>
      </text>
    </comment>
    <comment ref="H38" authorId="0" shapeId="0" xr:uid="{00000000-0006-0000-0400-000099010000}">
      <text>
        <r>
          <rPr>
            <sz val="8"/>
            <color indexed="81"/>
            <rFont val="Tahoma"/>
            <family val="2"/>
          </rPr>
          <t>When selecting a
Corner or Bay 
Window Type, 
the 
CMB Corner WS 
or 
CMB Bay WS 
must be completed.</t>
        </r>
      </text>
    </comment>
    <comment ref="J38" authorId="0" shapeId="0" xr:uid="{00000000-0006-0000-0400-00009A010000}">
      <text>
        <r>
          <rPr>
            <sz val="8"/>
            <color indexed="81"/>
            <rFont val="Tahoma"/>
            <family val="2"/>
          </rPr>
          <t>ACT 
Actual Measurements
You have made the allowances.
NAM
No Allowances Made 
The factory will make the deductions.</t>
        </r>
      </text>
    </comment>
    <comment ref="M38" authorId="0" shapeId="0" xr:uid="{00000000-0006-0000-0400-00009B010000}">
      <text>
        <r>
          <rPr>
            <sz val="8"/>
            <color indexed="81"/>
            <rFont val="Tahoma"/>
            <family val="2"/>
          </rPr>
          <t xml:space="preserve">
Bottom Rail Colour options;
Clear Anodised
Metallic Black
Mocha
White
White Birch</t>
        </r>
      </text>
    </comment>
    <comment ref="O38" authorId="0" shapeId="0" xr:uid="{00000000-0006-0000-0400-00009C010000}">
      <text>
        <r>
          <rPr>
            <sz val="8"/>
            <color indexed="81"/>
            <rFont val="Tahoma"/>
            <family val="2"/>
          </rPr>
          <t>Control Options are;
Left
Right
When Bracket Type is Link Together, 
Left or Right can only be selected once per Linked Set.</t>
        </r>
      </text>
    </comment>
    <comment ref="Q38" authorId="0" shapeId="0" xr:uid="{00000000-0006-0000-0400-00009D010000}">
      <text>
        <r>
          <rPr>
            <sz val="8"/>
            <color indexed="81"/>
            <rFont val="Tahoma"/>
            <family val="2"/>
          </rPr>
          <t>Chain Length options are; 
Default
500mm
750mm
1000mm
1250mm
1500mm
2000mm</t>
        </r>
      </text>
    </comment>
    <comment ref="R38" authorId="0" shapeId="0" xr:uid="{00000000-0006-0000-0400-00009E010000}">
      <text>
        <r>
          <rPr>
            <sz val="8"/>
            <color indexed="81"/>
            <rFont val="Tahoma"/>
            <family val="2"/>
          </rPr>
          <t>Chain Colour options are; 
White
White Birch
Black
Nickel Plated Brass
Stainless Steel</t>
        </r>
      </text>
    </comment>
    <comment ref="S38" authorId="0" shapeId="0" xr:uid="{00000000-0006-0000-0400-00009F010000}">
      <text>
        <r>
          <rPr>
            <sz val="8"/>
            <color indexed="81"/>
            <rFont val="Tahoma"/>
            <family val="2"/>
          </rPr>
          <t>When
 Standard or Common 
is selected the 
Pelmet Colour 
must be entered.</t>
        </r>
      </text>
    </comment>
    <comment ref="W38" authorId="0" shapeId="0" xr:uid="{00000000-0006-0000-0400-0000A0010000}">
      <text>
        <r>
          <rPr>
            <sz val="8"/>
            <color indexed="81"/>
            <rFont val="Tahoma"/>
            <family val="2"/>
          </rPr>
          <t>Bracket Options include:
All other options;
Standard
Double
Link
Double Link</t>
        </r>
      </text>
    </comment>
    <comment ref="X38" authorId="0" shapeId="0" xr:uid="{00000000-0006-0000-0400-0000A1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9" authorId="0" shapeId="0" xr:uid="{00000000-0006-0000-0400-0000A2010000}">
      <text>
        <r>
          <rPr>
            <sz val="8"/>
            <color indexed="81"/>
            <rFont val="Tahoma"/>
            <family val="2"/>
          </rPr>
          <t>Products options are;
London
Maui
Paris
Sunscreen</t>
        </r>
      </text>
    </comment>
    <comment ref="E39" authorId="0" shapeId="0" xr:uid="{00000000-0006-0000-0400-0000A3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9" authorId="0" shapeId="0" xr:uid="{00000000-0006-0000-0400-0000A4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9" authorId="0" shapeId="0" xr:uid="{00000000-0006-0000-0400-0000A5010000}">
      <text>
        <r>
          <rPr>
            <sz val="8"/>
            <color indexed="81"/>
            <rFont val="Tahoma"/>
            <family val="2"/>
          </rPr>
          <t xml:space="preserve">Minimum Height/Drop is 300mm.
Maximum Height/Drop is 3000mm. </t>
        </r>
      </text>
    </comment>
    <comment ref="H39" authorId="0" shapeId="0" xr:uid="{00000000-0006-0000-0400-0000A6010000}">
      <text>
        <r>
          <rPr>
            <sz val="8"/>
            <color indexed="81"/>
            <rFont val="Tahoma"/>
            <family val="2"/>
          </rPr>
          <t>When selecting a
Corner or Bay 
Window Type, 
the 
CMB Corner WS 
or 
CMB Bay WS 
must be completed.</t>
        </r>
      </text>
    </comment>
    <comment ref="J39" authorId="0" shapeId="0" xr:uid="{00000000-0006-0000-0400-0000A7010000}">
      <text>
        <r>
          <rPr>
            <sz val="8"/>
            <color indexed="81"/>
            <rFont val="Tahoma"/>
            <family val="2"/>
          </rPr>
          <t>ACT 
Actual Measurements
You have made the allowances.
NAM
No Allowances Made 
The factory will make the deductions.</t>
        </r>
      </text>
    </comment>
    <comment ref="M39" authorId="0" shapeId="0" xr:uid="{00000000-0006-0000-0400-0000A8010000}">
      <text>
        <r>
          <rPr>
            <sz val="8"/>
            <color indexed="81"/>
            <rFont val="Tahoma"/>
            <family val="2"/>
          </rPr>
          <t xml:space="preserve">
Bottom Rail Colour options;
Clear Anodised
Metallic Black
Mocha
White
White Birch</t>
        </r>
      </text>
    </comment>
    <comment ref="O39" authorId="0" shapeId="0" xr:uid="{00000000-0006-0000-0400-0000A9010000}">
      <text>
        <r>
          <rPr>
            <sz val="8"/>
            <color indexed="81"/>
            <rFont val="Tahoma"/>
            <family val="2"/>
          </rPr>
          <t>Control Options are;
Left
Right
When Bracket Type is Link Together, 
Left or Right can only be selected once per Linked Set.</t>
        </r>
      </text>
    </comment>
    <comment ref="Q39" authorId="0" shapeId="0" xr:uid="{00000000-0006-0000-0400-0000AA010000}">
      <text>
        <r>
          <rPr>
            <sz val="8"/>
            <color indexed="81"/>
            <rFont val="Tahoma"/>
            <family val="2"/>
          </rPr>
          <t>Chain Length options are; 
Default
500mm
750mm
1000mm
1250mm
1500mm
2000mm</t>
        </r>
      </text>
    </comment>
    <comment ref="R39" authorId="0" shapeId="0" xr:uid="{00000000-0006-0000-0400-0000AB010000}">
      <text>
        <r>
          <rPr>
            <sz val="8"/>
            <color indexed="81"/>
            <rFont val="Tahoma"/>
            <family val="2"/>
          </rPr>
          <t>Chain Colour options are; 
White
White Birch
Black
Nickel Plated Brass
Stainless Steel</t>
        </r>
      </text>
    </comment>
    <comment ref="S39" authorId="0" shapeId="0" xr:uid="{00000000-0006-0000-0400-0000AC010000}">
      <text>
        <r>
          <rPr>
            <sz val="8"/>
            <color indexed="81"/>
            <rFont val="Tahoma"/>
            <family val="2"/>
          </rPr>
          <t>When
 Standard or Common 
is selected the 
Pelmet Colour 
must be entered.</t>
        </r>
      </text>
    </comment>
    <comment ref="W39" authorId="0" shapeId="0" xr:uid="{00000000-0006-0000-0400-0000AD010000}">
      <text>
        <r>
          <rPr>
            <sz val="8"/>
            <color indexed="81"/>
            <rFont val="Tahoma"/>
            <family val="2"/>
          </rPr>
          <t>Bracket Options include:
All other options;
Standard
Double
Link
Double Link</t>
        </r>
      </text>
    </comment>
    <comment ref="X39" authorId="0" shapeId="0" xr:uid="{00000000-0006-0000-0400-0000AE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0" authorId="0" shapeId="0" xr:uid="{00000000-0006-0000-0400-0000AF010000}">
      <text>
        <r>
          <rPr>
            <sz val="8"/>
            <color indexed="81"/>
            <rFont val="Tahoma"/>
            <family val="2"/>
          </rPr>
          <t>Products options are;
London
Maui
Paris
Sunscreen</t>
        </r>
      </text>
    </comment>
    <comment ref="E40" authorId="0" shapeId="0" xr:uid="{00000000-0006-0000-0400-0000B0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0" authorId="0" shapeId="0" xr:uid="{00000000-0006-0000-0400-0000B1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0" authorId="0" shapeId="0" xr:uid="{00000000-0006-0000-0400-0000B2010000}">
      <text>
        <r>
          <rPr>
            <sz val="8"/>
            <color indexed="81"/>
            <rFont val="Tahoma"/>
            <family val="2"/>
          </rPr>
          <t xml:space="preserve">Minimum Height/Drop is 300mm.
Maximum Height/Drop is 3000mm. </t>
        </r>
      </text>
    </comment>
    <comment ref="H40" authorId="0" shapeId="0" xr:uid="{00000000-0006-0000-0400-0000B3010000}">
      <text>
        <r>
          <rPr>
            <sz val="8"/>
            <color indexed="81"/>
            <rFont val="Tahoma"/>
            <family val="2"/>
          </rPr>
          <t>When selecting a
Corner or Bay 
Window Type, 
the 
CMB Corner WS 
or 
CMB Bay WS 
must be completed.</t>
        </r>
      </text>
    </comment>
    <comment ref="J40" authorId="0" shapeId="0" xr:uid="{00000000-0006-0000-0400-0000B4010000}">
      <text>
        <r>
          <rPr>
            <sz val="8"/>
            <color indexed="81"/>
            <rFont val="Tahoma"/>
            <family val="2"/>
          </rPr>
          <t>ACT 
Actual Measurements
You have made the allowances.
NAM
No Allowances Made 
The factory will make the deductions.</t>
        </r>
      </text>
    </comment>
    <comment ref="M40" authorId="0" shapeId="0" xr:uid="{00000000-0006-0000-0400-0000B5010000}">
      <text>
        <r>
          <rPr>
            <sz val="8"/>
            <color indexed="81"/>
            <rFont val="Tahoma"/>
            <family val="2"/>
          </rPr>
          <t xml:space="preserve">
Bottom Rail Colour options;
Clear Anodised
Metallic Black
Mocha
White
White Birch</t>
        </r>
      </text>
    </comment>
    <comment ref="O40" authorId="0" shapeId="0" xr:uid="{00000000-0006-0000-0400-0000B6010000}">
      <text>
        <r>
          <rPr>
            <sz val="8"/>
            <color indexed="81"/>
            <rFont val="Tahoma"/>
            <family val="2"/>
          </rPr>
          <t>Control Options are;
Left
Right
When Bracket Type is Link Together, 
Left or Right can only be selected once per Linked Set.</t>
        </r>
      </text>
    </comment>
    <comment ref="Q40" authorId="0" shapeId="0" xr:uid="{00000000-0006-0000-0400-0000B7010000}">
      <text>
        <r>
          <rPr>
            <sz val="8"/>
            <color indexed="81"/>
            <rFont val="Tahoma"/>
            <family val="2"/>
          </rPr>
          <t>Chain Length options are; 
Default
500mm
750mm
1000mm
1250mm
1500mm
2000mm</t>
        </r>
      </text>
    </comment>
    <comment ref="R40" authorId="0" shapeId="0" xr:uid="{00000000-0006-0000-0400-0000B8010000}">
      <text>
        <r>
          <rPr>
            <sz val="8"/>
            <color indexed="81"/>
            <rFont val="Tahoma"/>
            <family val="2"/>
          </rPr>
          <t>Chain Colour options are; 
White
White Birch
Black
Nickel Plated Brass
Stainless Steel</t>
        </r>
      </text>
    </comment>
    <comment ref="S40" authorId="0" shapeId="0" xr:uid="{00000000-0006-0000-0400-0000B9010000}">
      <text>
        <r>
          <rPr>
            <sz val="8"/>
            <color indexed="81"/>
            <rFont val="Tahoma"/>
            <family val="2"/>
          </rPr>
          <t>When
 Standard or Common 
is selected the 
Pelmet Colour 
must be entered.</t>
        </r>
      </text>
    </comment>
    <comment ref="W40" authorId="0" shapeId="0" xr:uid="{00000000-0006-0000-0400-0000BA010000}">
      <text>
        <r>
          <rPr>
            <sz val="8"/>
            <color indexed="81"/>
            <rFont val="Tahoma"/>
            <family val="2"/>
          </rPr>
          <t>Bracket Options include:
All other options;
Standard
Double
Link
Double Link</t>
        </r>
      </text>
    </comment>
    <comment ref="X40" authorId="0" shapeId="0" xr:uid="{00000000-0006-0000-0400-0000BB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1" authorId="0" shapeId="0" xr:uid="{00000000-0006-0000-0400-0000BC010000}">
      <text>
        <r>
          <rPr>
            <sz val="8"/>
            <color indexed="81"/>
            <rFont val="Tahoma"/>
            <family val="2"/>
          </rPr>
          <t>Products options are;
London
Maui
Paris
Sunscreen</t>
        </r>
      </text>
    </comment>
    <comment ref="E41" authorId="0" shapeId="0" xr:uid="{00000000-0006-0000-0400-0000BD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1" authorId="0" shapeId="0" xr:uid="{00000000-0006-0000-0400-0000BE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1" authorId="0" shapeId="0" xr:uid="{00000000-0006-0000-0400-0000BF010000}">
      <text>
        <r>
          <rPr>
            <sz val="8"/>
            <color indexed="81"/>
            <rFont val="Tahoma"/>
            <family val="2"/>
          </rPr>
          <t xml:space="preserve">Minimum Height/Drop is 300mm.
Maximum Height/Drop is 3000mm. </t>
        </r>
      </text>
    </comment>
    <comment ref="H41" authorId="0" shapeId="0" xr:uid="{00000000-0006-0000-0400-0000C0010000}">
      <text>
        <r>
          <rPr>
            <sz val="8"/>
            <color indexed="81"/>
            <rFont val="Tahoma"/>
            <family val="2"/>
          </rPr>
          <t>When selecting a
Corner or Bay 
Window Type, 
the 
CMB Corner WS 
or 
CMB Bay WS 
must be completed.</t>
        </r>
      </text>
    </comment>
    <comment ref="J41" authorId="0" shapeId="0" xr:uid="{00000000-0006-0000-0400-0000C1010000}">
      <text>
        <r>
          <rPr>
            <sz val="8"/>
            <color indexed="81"/>
            <rFont val="Tahoma"/>
            <family val="2"/>
          </rPr>
          <t>ACT 
Actual Measurements
You have made the allowances.
NAM
No Allowances Made 
The factory will make the deductions.</t>
        </r>
      </text>
    </comment>
    <comment ref="M41" authorId="0" shapeId="0" xr:uid="{00000000-0006-0000-0400-0000C2010000}">
      <text>
        <r>
          <rPr>
            <sz val="8"/>
            <color indexed="81"/>
            <rFont val="Tahoma"/>
            <family val="2"/>
          </rPr>
          <t xml:space="preserve">
Bottom Rail Colour options;
Clear Anodised
Metallic Black
Mocha
White
White Birch</t>
        </r>
      </text>
    </comment>
    <comment ref="O41" authorId="0" shapeId="0" xr:uid="{00000000-0006-0000-0400-0000C3010000}">
      <text>
        <r>
          <rPr>
            <sz val="8"/>
            <color indexed="81"/>
            <rFont val="Tahoma"/>
            <family val="2"/>
          </rPr>
          <t>Control Options are;
Left
Right
When Bracket Type is Link Together, 
Left or Right can only be selected once per Linked Set.</t>
        </r>
      </text>
    </comment>
    <comment ref="Q41" authorId="0" shapeId="0" xr:uid="{00000000-0006-0000-0400-0000C4010000}">
      <text>
        <r>
          <rPr>
            <sz val="8"/>
            <color indexed="81"/>
            <rFont val="Tahoma"/>
            <family val="2"/>
          </rPr>
          <t>Chain Length options are; 
Default
500mm
750mm
1000mm
1250mm
1500mm
2000mm</t>
        </r>
      </text>
    </comment>
    <comment ref="R41" authorId="0" shapeId="0" xr:uid="{00000000-0006-0000-0400-0000C5010000}">
      <text>
        <r>
          <rPr>
            <sz val="8"/>
            <color indexed="81"/>
            <rFont val="Tahoma"/>
            <family val="2"/>
          </rPr>
          <t>Chain Colour options are; 
White
White Birch
Black
Nickel Plated Brass
Stainless Steel</t>
        </r>
      </text>
    </comment>
    <comment ref="S41" authorId="0" shapeId="0" xr:uid="{00000000-0006-0000-0400-0000C6010000}">
      <text>
        <r>
          <rPr>
            <sz val="8"/>
            <color indexed="81"/>
            <rFont val="Tahoma"/>
            <family val="2"/>
          </rPr>
          <t>When
 Standard or Common 
is selected the 
Pelmet Colour 
must be entered.</t>
        </r>
      </text>
    </comment>
    <comment ref="W41" authorId="0" shapeId="0" xr:uid="{00000000-0006-0000-0400-0000C7010000}">
      <text>
        <r>
          <rPr>
            <sz val="8"/>
            <color indexed="81"/>
            <rFont val="Tahoma"/>
            <family val="2"/>
          </rPr>
          <t>Bracket Options include:
All other options;
Standard
Double
Link
Double Link</t>
        </r>
      </text>
    </comment>
    <comment ref="X41" authorId="0" shapeId="0" xr:uid="{00000000-0006-0000-0400-0000C8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2" authorId="0" shapeId="0" xr:uid="{00000000-0006-0000-0400-0000C9010000}">
      <text>
        <r>
          <rPr>
            <sz val="8"/>
            <color indexed="81"/>
            <rFont val="Tahoma"/>
            <family val="2"/>
          </rPr>
          <t>Products options are;
London
Maui
Paris
Sunscreen</t>
        </r>
      </text>
    </comment>
    <comment ref="E42" authorId="0" shapeId="0" xr:uid="{00000000-0006-0000-0400-0000CA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2" authorId="0" shapeId="0" xr:uid="{00000000-0006-0000-0400-0000CB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2" authorId="0" shapeId="0" xr:uid="{00000000-0006-0000-0400-0000CC010000}">
      <text>
        <r>
          <rPr>
            <sz val="8"/>
            <color indexed="81"/>
            <rFont val="Tahoma"/>
            <family val="2"/>
          </rPr>
          <t xml:space="preserve">Minimum Height/Drop is 300mm.
Maximum Height/Drop is 3000mm. </t>
        </r>
      </text>
    </comment>
    <comment ref="H42" authorId="0" shapeId="0" xr:uid="{00000000-0006-0000-0400-0000CD010000}">
      <text>
        <r>
          <rPr>
            <sz val="8"/>
            <color indexed="81"/>
            <rFont val="Tahoma"/>
            <family val="2"/>
          </rPr>
          <t>When selecting a
Corner or Bay 
Window Type, 
the 
CMB Corner WS 
or 
CMB Bay WS 
must be completed.</t>
        </r>
      </text>
    </comment>
    <comment ref="J42" authorId="0" shapeId="0" xr:uid="{00000000-0006-0000-0400-0000CE010000}">
      <text>
        <r>
          <rPr>
            <sz val="8"/>
            <color indexed="81"/>
            <rFont val="Tahoma"/>
            <family val="2"/>
          </rPr>
          <t>ACT 
Actual Measurements
You have made the allowances.
NAM
No Allowances Made 
The factory will make the deductions.</t>
        </r>
      </text>
    </comment>
    <comment ref="M42" authorId="0" shapeId="0" xr:uid="{00000000-0006-0000-0400-0000CF010000}">
      <text>
        <r>
          <rPr>
            <sz val="8"/>
            <color indexed="81"/>
            <rFont val="Tahoma"/>
            <family val="2"/>
          </rPr>
          <t xml:space="preserve">
Bottom Rail Colour options;
Clear Anodised
Metallic Black
Mocha
White
White Birch</t>
        </r>
      </text>
    </comment>
    <comment ref="O42" authorId="0" shapeId="0" xr:uid="{00000000-0006-0000-0400-0000D0010000}">
      <text>
        <r>
          <rPr>
            <sz val="8"/>
            <color indexed="81"/>
            <rFont val="Tahoma"/>
            <family val="2"/>
          </rPr>
          <t>Control Options are;
Left
Right
When Bracket Type is Link Together, 
Left or Right can only be selected once per Linked Set.</t>
        </r>
      </text>
    </comment>
    <comment ref="Q42" authorId="0" shapeId="0" xr:uid="{00000000-0006-0000-0400-0000D1010000}">
      <text>
        <r>
          <rPr>
            <sz val="8"/>
            <color indexed="81"/>
            <rFont val="Tahoma"/>
            <family val="2"/>
          </rPr>
          <t>Chain Length options are; 
Default
500mm
750mm
1000mm
1250mm
1500mm
2000mm</t>
        </r>
      </text>
    </comment>
    <comment ref="R42" authorId="0" shapeId="0" xr:uid="{00000000-0006-0000-0400-0000D2010000}">
      <text>
        <r>
          <rPr>
            <sz val="8"/>
            <color indexed="81"/>
            <rFont val="Tahoma"/>
            <family val="2"/>
          </rPr>
          <t>Chain Colour options are; 
White
White Birch
Black
Nickel Plated Brass
Stainless Steel</t>
        </r>
      </text>
    </comment>
    <comment ref="S42" authorId="0" shapeId="0" xr:uid="{00000000-0006-0000-0400-0000D3010000}">
      <text>
        <r>
          <rPr>
            <sz val="8"/>
            <color indexed="81"/>
            <rFont val="Tahoma"/>
            <family val="2"/>
          </rPr>
          <t>When
 Standard or Common 
is selected the 
Pelmet Colour 
must be entered.</t>
        </r>
      </text>
    </comment>
    <comment ref="W42" authorId="0" shapeId="0" xr:uid="{00000000-0006-0000-0400-0000D4010000}">
      <text>
        <r>
          <rPr>
            <sz val="8"/>
            <color indexed="81"/>
            <rFont val="Tahoma"/>
            <family val="2"/>
          </rPr>
          <t>Bracket Options include:
All other options;
Standard
Double
Link
Double Link</t>
        </r>
      </text>
    </comment>
    <comment ref="X42" authorId="0" shapeId="0" xr:uid="{00000000-0006-0000-0400-0000D5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3" authorId="0" shapeId="0" xr:uid="{00000000-0006-0000-0400-0000D6010000}">
      <text>
        <r>
          <rPr>
            <sz val="8"/>
            <color indexed="81"/>
            <rFont val="Tahoma"/>
            <family val="2"/>
          </rPr>
          <t>Products options are;
London
Maui
Paris
Sunscreen</t>
        </r>
      </text>
    </comment>
    <comment ref="E43" authorId="0" shapeId="0" xr:uid="{00000000-0006-0000-0400-0000D7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3" authorId="0" shapeId="0" xr:uid="{00000000-0006-0000-0400-0000D8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3" authorId="0" shapeId="0" xr:uid="{00000000-0006-0000-0400-0000D9010000}">
      <text>
        <r>
          <rPr>
            <sz val="8"/>
            <color indexed="81"/>
            <rFont val="Tahoma"/>
            <family val="2"/>
          </rPr>
          <t xml:space="preserve">Minimum Height/Drop is 300mm.
Maximum Height/Drop is 3000mm. </t>
        </r>
      </text>
    </comment>
    <comment ref="H43" authorId="0" shapeId="0" xr:uid="{00000000-0006-0000-0400-0000DA010000}">
      <text>
        <r>
          <rPr>
            <sz val="8"/>
            <color indexed="81"/>
            <rFont val="Tahoma"/>
            <family val="2"/>
          </rPr>
          <t>When selecting a
Corner or Bay 
Window Type, 
the 
CMB Corner WS 
or 
CMB Bay WS 
must be completed.</t>
        </r>
      </text>
    </comment>
    <comment ref="J43" authorId="0" shapeId="0" xr:uid="{00000000-0006-0000-0400-0000DB010000}">
      <text>
        <r>
          <rPr>
            <sz val="8"/>
            <color indexed="81"/>
            <rFont val="Tahoma"/>
            <family val="2"/>
          </rPr>
          <t>ACT 
Actual Measurements
You have made the allowances.
NAM
No Allowances Made 
The factory will make the deductions.</t>
        </r>
      </text>
    </comment>
    <comment ref="M43" authorId="0" shapeId="0" xr:uid="{00000000-0006-0000-0400-0000DC010000}">
      <text>
        <r>
          <rPr>
            <sz val="8"/>
            <color indexed="81"/>
            <rFont val="Tahoma"/>
            <family val="2"/>
          </rPr>
          <t xml:space="preserve">
Bottom Rail Colour options;
Clear Anodised
Metallic Black
Mocha
White
White Birch</t>
        </r>
      </text>
    </comment>
    <comment ref="O43" authorId="0" shapeId="0" xr:uid="{00000000-0006-0000-0400-0000DD010000}">
      <text>
        <r>
          <rPr>
            <sz val="8"/>
            <color indexed="81"/>
            <rFont val="Tahoma"/>
            <family val="2"/>
          </rPr>
          <t>Control Options are;
Left
Right
When Bracket Type is Link Together, 
Left or Right can only be selected once per Linked Set.</t>
        </r>
      </text>
    </comment>
    <comment ref="Q43" authorId="0" shapeId="0" xr:uid="{00000000-0006-0000-0400-0000DE010000}">
      <text>
        <r>
          <rPr>
            <sz val="8"/>
            <color indexed="81"/>
            <rFont val="Tahoma"/>
            <family val="2"/>
          </rPr>
          <t>Chain Length options are; 
Default
500mm
750mm
1000mm
1250mm
1500mm
2000mm</t>
        </r>
      </text>
    </comment>
    <comment ref="R43" authorId="0" shapeId="0" xr:uid="{00000000-0006-0000-0400-0000DF010000}">
      <text>
        <r>
          <rPr>
            <sz val="8"/>
            <color indexed="81"/>
            <rFont val="Tahoma"/>
            <family val="2"/>
          </rPr>
          <t>Chain Colour options are; 
White
White Birch
Black
Nickel Plated Brass
Stainless Steel</t>
        </r>
      </text>
    </comment>
    <comment ref="S43" authorId="0" shapeId="0" xr:uid="{00000000-0006-0000-0400-0000E0010000}">
      <text>
        <r>
          <rPr>
            <sz val="8"/>
            <color indexed="81"/>
            <rFont val="Tahoma"/>
            <family val="2"/>
          </rPr>
          <t>When
 Standard or Common 
is selected the 
Pelmet Colour 
must be entered.</t>
        </r>
      </text>
    </comment>
    <comment ref="W43" authorId="0" shapeId="0" xr:uid="{00000000-0006-0000-0400-0000E1010000}">
      <text>
        <r>
          <rPr>
            <sz val="8"/>
            <color indexed="81"/>
            <rFont val="Tahoma"/>
            <family val="2"/>
          </rPr>
          <t>Bracket Options include:
All other options;
Standard
Double
Link
Double Link</t>
        </r>
      </text>
    </comment>
    <comment ref="X43" authorId="0" shapeId="0" xr:uid="{00000000-0006-0000-0400-0000E2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4" authorId="0" shapeId="0" xr:uid="{00000000-0006-0000-0400-0000E3010000}">
      <text>
        <r>
          <rPr>
            <sz val="8"/>
            <color indexed="81"/>
            <rFont val="Tahoma"/>
            <family val="2"/>
          </rPr>
          <t>Products options are;
London
Maui
Paris
Sunscreen</t>
        </r>
      </text>
    </comment>
    <comment ref="E44" authorId="0" shapeId="0" xr:uid="{00000000-0006-0000-0400-0000E4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4" authorId="0" shapeId="0" xr:uid="{00000000-0006-0000-0400-0000E5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4" authorId="0" shapeId="0" xr:uid="{00000000-0006-0000-0400-0000E6010000}">
      <text>
        <r>
          <rPr>
            <sz val="8"/>
            <color indexed="81"/>
            <rFont val="Tahoma"/>
            <family val="2"/>
          </rPr>
          <t xml:space="preserve">Minimum Height/Drop is 300mm.
Maximum Height/Drop is 3000mm. </t>
        </r>
      </text>
    </comment>
    <comment ref="H44" authorId="0" shapeId="0" xr:uid="{00000000-0006-0000-0400-0000E7010000}">
      <text>
        <r>
          <rPr>
            <sz val="8"/>
            <color indexed="81"/>
            <rFont val="Tahoma"/>
            <family val="2"/>
          </rPr>
          <t>When selecting a
Corner or Bay 
Window Type, 
the 
CMB Corner WS 
or 
CMB Bay WS 
must be completed.</t>
        </r>
      </text>
    </comment>
    <comment ref="J44" authorId="0" shapeId="0" xr:uid="{00000000-0006-0000-0400-0000E8010000}">
      <text>
        <r>
          <rPr>
            <sz val="8"/>
            <color indexed="81"/>
            <rFont val="Tahoma"/>
            <family val="2"/>
          </rPr>
          <t>ACT 
Actual Measurements
You have made the allowances.
NAM
No Allowances Made 
The factory will make the deductions.</t>
        </r>
      </text>
    </comment>
    <comment ref="M44" authorId="0" shapeId="0" xr:uid="{00000000-0006-0000-0400-0000E9010000}">
      <text>
        <r>
          <rPr>
            <sz val="8"/>
            <color indexed="81"/>
            <rFont val="Tahoma"/>
            <family val="2"/>
          </rPr>
          <t xml:space="preserve">
Bottom Rail Colour options;
Clear Anodised
Metallic Black
Mocha
White
White Birch</t>
        </r>
      </text>
    </comment>
    <comment ref="O44" authorId="0" shapeId="0" xr:uid="{00000000-0006-0000-0400-0000EA010000}">
      <text>
        <r>
          <rPr>
            <sz val="8"/>
            <color indexed="81"/>
            <rFont val="Tahoma"/>
            <family val="2"/>
          </rPr>
          <t>Control Options are;
Left
Right
When Bracket Type is Link Together, 
Left or Right can only be selected once per Linked Set.</t>
        </r>
      </text>
    </comment>
    <comment ref="Q44" authorId="0" shapeId="0" xr:uid="{00000000-0006-0000-0400-0000EB010000}">
      <text>
        <r>
          <rPr>
            <sz val="8"/>
            <color indexed="81"/>
            <rFont val="Tahoma"/>
            <family val="2"/>
          </rPr>
          <t>Chain Length options are; 
Default
500mm
750mm
1000mm
1250mm
1500mm
2000mm</t>
        </r>
      </text>
    </comment>
    <comment ref="R44" authorId="0" shapeId="0" xr:uid="{00000000-0006-0000-0400-0000EC010000}">
      <text>
        <r>
          <rPr>
            <sz val="8"/>
            <color indexed="81"/>
            <rFont val="Tahoma"/>
            <family val="2"/>
          </rPr>
          <t>Chain Colour options are; 
White
White Birch
Black
Nickel Plated Brass
Stainless Steel</t>
        </r>
      </text>
    </comment>
    <comment ref="S44" authorId="0" shapeId="0" xr:uid="{00000000-0006-0000-0400-0000ED010000}">
      <text>
        <r>
          <rPr>
            <sz val="8"/>
            <color indexed="81"/>
            <rFont val="Tahoma"/>
            <family val="2"/>
          </rPr>
          <t>When
 Standard or Common 
is selected the 
Pelmet Colour 
must be entered.</t>
        </r>
      </text>
    </comment>
    <comment ref="W44" authorId="0" shapeId="0" xr:uid="{00000000-0006-0000-0400-0000EE010000}">
      <text>
        <r>
          <rPr>
            <sz val="8"/>
            <color indexed="81"/>
            <rFont val="Tahoma"/>
            <family val="2"/>
          </rPr>
          <t>Bracket Options include:
All other options;
Standard
Double
Link
Double Link</t>
        </r>
      </text>
    </comment>
    <comment ref="X44" authorId="0" shapeId="0" xr:uid="{00000000-0006-0000-0400-0000EF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5" authorId="0" shapeId="0" xr:uid="{00000000-0006-0000-0400-0000F0010000}">
      <text>
        <r>
          <rPr>
            <sz val="8"/>
            <color indexed="81"/>
            <rFont val="Tahoma"/>
            <family val="2"/>
          </rPr>
          <t>Products options are;
London
Maui
Paris
Sunscreen</t>
        </r>
      </text>
    </comment>
    <comment ref="E45" authorId="0" shapeId="0" xr:uid="{00000000-0006-0000-0400-0000F1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5" authorId="0" shapeId="0" xr:uid="{00000000-0006-0000-0400-0000F2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5" authorId="0" shapeId="0" xr:uid="{00000000-0006-0000-0400-0000F3010000}">
      <text>
        <r>
          <rPr>
            <sz val="8"/>
            <color indexed="81"/>
            <rFont val="Tahoma"/>
            <family val="2"/>
          </rPr>
          <t xml:space="preserve">Minimum Height/Drop is 300mm.
Maximum Height/Drop is 3000mm. </t>
        </r>
      </text>
    </comment>
    <comment ref="H45" authorId="0" shapeId="0" xr:uid="{00000000-0006-0000-0400-0000F4010000}">
      <text>
        <r>
          <rPr>
            <sz val="8"/>
            <color indexed="81"/>
            <rFont val="Tahoma"/>
            <family val="2"/>
          </rPr>
          <t>When selecting a
Corner or Bay 
Window Type, 
the 
CMB Corner WS 
or 
CMB Bay WS 
must be completed.</t>
        </r>
      </text>
    </comment>
    <comment ref="J45" authorId="0" shapeId="0" xr:uid="{00000000-0006-0000-0400-0000F5010000}">
      <text>
        <r>
          <rPr>
            <sz val="8"/>
            <color indexed="81"/>
            <rFont val="Tahoma"/>
            <family val="2"/>
          </rPr>
          <t>ACT 
Actual Measurements
You have made the allowances.
NAM
No Allowances Made 
The factory will make the deductions.</t>
        </r>
      </text>
    </comment>
    <comment ref="M45" authorId="0" shapeId="0" xr:uid="{00000000-0006-0000-0400-0000F6010000}">
      <text>
        <r>
          <rPr>
            <sz val="8"/>
            <color indexed="81"/>
            <rFont val="Tahoma"/>
            <family val="2"/>
          </rPr>
          <t xml:space="preserve">
Bottom Rail Colour options;
Clear Anodised
Metallic Black
Mocha
White
White Birch</t>
        </r>
      </text>
    </comment>
    <comment ref="O45" authorId="0" shapeId="0" xr:uid="{00000000-0006-0000-0400-0000F7010000}">
      <text>
        <r>
          <rPr>
            <sz val="8"/>
            <color indexed="81"/>
            <rFont val="Tahoma"/>
            <family val="2"/>
          </rPr>
          <t>Control Options are;
Left
Right
When Bracket Type is Link Together, 
Left or Right can only be selected once per Linked Set.</t>
        </r>
      </text>
    </comment>
    <comment ref="Q45" authorId="0" shapeId="0" xr:uid="{00000000-0006-0000-0400-0000F8010000}">
      <text>
        <r>
          <rPr>
            <sz val="8"/>
            <color indexed="81"/>
            <rFont val="Tahoma"/>
            <family val="2"/>
          </rPr>
          <t>Chain Length options are; 
Default
500mm
750mm
1000mm
1250mm
1500mm
2000mm</t>
        </r>
      </text>
    </comment>
    <comment ref="R45" authorId="0" shapeId="0" xr:uid="{00000000-0006-0000-0400-0000F9010000}">
      <text>
        <r>
          <rPr>
            <sz val="8"/>
            <color indexed="81"/>
            <rFont val="Tahoma"/>
            <family val="2"/>
          </rPr>
          <t>Chain Colour options are; 
White
White Birch
Black
Nickel Plated Brass
Stainless Steel</t>
        </r>
      </text>
    </comment>
    <comment ref="S45" authorId="0" shapeId="0" xr:uid="{00000000-0006-0000-0400-0000FA010000}">
      <text>
        <r>
          <rPr>
            <sz val="8"/>
            <color indexed="81"/>
            <rFont val="Tahoma"/>
            <family val="2"/>
          </rPr>
          <t>When
 Standard or Common 
is selected the 
Pelmet Colour 
must be entered.</t>
        </r>
      </text>
    </comment>
    <comment ref="W45" authorId="0" shapeId="0" xr:uid="{00000000-0006-0000-0400-0000FB010000}">
      <text>
        <r>
          <rPr>
            <sz val="8"/>
            <color indexed="81"/>
            <rFont val="Tahoma"/>
            <family val="2"/>
          </rPr>
          <t>Bracket Options include:
All other options;
Standard
Double
Link
Double Link</t>
        </r>
      </text>
    </comment>
    <comment ref="X45" authorId="0" shapeId="0" xr:uid="{00000000-0006-0000-0400-0000FC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6" authorId="0" shapeId="0" xr:uid="{00000000-0006-0000-0400-0000FD010000}">
      <text>
        <r>
          <rPr>
            <sz val="8"/>
            <color indexed="81"/>
            <rFont val="Tahoma"/>
            <family val="2"/>
          </rPr>
          <t>Products options are;
London
Maui
Paris
Sunscreen</t>
        </r>
      </text>
    </comment>
    <comment ref="E46" authorId="0" shapeId="0" xr:uid="{00000000-0006-0000-0400-0000FE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6" authorId="0" shapeId="0" xr:uid="{00000000-0006-0000-0400-0000FF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6" authorId="0" shapeId="0" xr:uid="{00000000-0006-0000-0400-000000020000}">
      <text>
        <r>
          <rPr>
            <sz val="8"/>
            <color indexed="81"/>
            <rFont val="Tahoma"/>
            <family val="2"/>
          </rPr>
          <t xml:space="preserve">Minimum Height/Drop is 300mm.
Maximum Height/Drop is 3000mm. </t>
        </r>
      </text>
    </comment>
    <comment ref="H46" authorId="0" shapeId="0" xr:uid="{00000000-0006-0000-0400-000001020000}">
      <text>
        <r>
          <rPr>
            <sz val="8"/>
            <color indexed="81"/>
            <rFont val="Tahoma"/>
            <family val="2"/>
          </rPr>
          <t>When selecting a
Corner or Bay 
Window Type, 
the 
CMB Corner WS 
or 
CMB Bay WS 
must be completed.</t>
        </r>
      </text>
    </comment>
    <comment ref="J46" authorId="0" shapeId="0" xr:uid="{00000000-0006-0000-0400-000002020000}">
      <text>
        <r>
          <rPr>
            <sz val="8"/>
            <color indexed="81"/>
            <rFont val="Tahoma"/>
            <family val="2"/>
          </rPr>
          <t>ACT 
Actual Measurements
You have made the allowances.
NAM
No Allowances Made 
The factory will make the deductions.</t>
        </r>
      </text>
    </comment>
    <comment ref="M46" authorId="0" shapeId="0" xr:uid="{00000000-0006-0000-0400-000003020000}">
      <text>
        <r>
          <rPr>
            <sz val="8"/>
            <color indexed="81"/>
            <rFont val="Tahoma"/>
            <family val="2"/>
          </rPr>
          <t xml:space="preserve">
Bottom Rail Colour options;
Clear Anodised
Metallic Black
Mocha
White
White Birch</t>
        </r>
      </text>
    </comment>
    <comment ref="O46" authorId="0" shapeId="0" xr:uid="{00000000-0006-0000-0400-000004020000}">
      <text>
        <r>
          <rPr>
            <sz val="8"/>
            <color indexed="81"/>
            <rFont val="Tahoma"/>
            <family val="2"/>
          </rPr>
          <t>Control Options are;
Left
Right
When Bracket Type is Link Together, 
Left or Right can only be selected once per Linked Set.</t>
        </r>
      </text>
    </comment>
    <comment ref="Q46" authorId="0" shapeId="0" xr:uid="{00000000-0006-0000-0400-000005020000}">
      <text>
        <r>
          <rPr>
            <sz val="8"/>
            <color indexed="81"/>
            <rFont val="Tahoma"/>
            <family val="2"/>
          </rPr>
          <t>Chain Length options are; 
Default
500mm
750mm
1000mm
1250mm
1500mm
2000mm</t>
        </r>
      </text>
    </comment>
    <comment ref="R46" authorId="0" shapeId="0" xr:uid="{00000000-0006-0000-0400-000006020000}">
      <text>
        <r>
          <rPr>
            <sz val="8"/>
            <color indexed="81"/>
            <rFont val="Tahoma"/>
            <family val="2"/>
          </rPr>
          <t>Chain Colour options are; 
White
White Birch
Black
Nickel Plated Brass
Stainless Steel</t>
        </r>
      </text>
    </comment>
    <comment ref="S46" authorId="0" shapeId="0" xr:uid="{00000000-0006-0000-0400-000007020000}">
      <text>
        <r>
          <rPr>
            <sz val="8"/>
            <color indexed="81"/>
            <rFont val="Tahoma"/>
            <family val="2"/>
          </rPr>
          <t>When
 Standard or Common 
is selected the 
Pelmet Colour 
must be entered.</t>
        </r>
      </text>
    </comment>
    <comment ref="W46" authorId="0" shapeId="0" xr:uid="{00000000-0006-0000-0400-000008020000}">
      <text>
        <r>
          <rPr>
            <sz val="8"/>
            <color indexed="81"/>
            <rFont val="Tahoma"/>
            <family val="2"/>
          </rPr>
          <t>Bracket Options include:
All other options;
Standard
Double
Link
Double Link</t>
        </r>
      </text>
    </comment>
    <comment ref="X46" authorId="0" shapeId="0" xr:uid="{00000000-0006-0000-0400-000009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7" authorId="0" shapeId="0" xr:uid="{00000000-0006-0000-0400-00000A020000}">
      <text>
        <r>
          <rPr>
            <sz val="8"/>
            <color indexed="81"/>
            <rFont val="Tahoma"/>
            <family val="2"/>
          </rPr>
          <t>Products options are;
London
Maui
Paris
Sunscreen</t>
        </r>
      </text>
    </comment>
    <comment ref="E47" authorId="0" shapeId="0" xr:uid="{00000000-0006-0000-0400-00000B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7" authorId="0" shapeId="0" xr:uid="{00000000-0006-0000-0400-00000C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7" authorId="0" shapeId="0" xr:uid="{00000000-0006-0000-0400-00000D020000}">
      <text>
        <r>
          <rPr>
            <sz val="8"/>
            <color indexed="81"/>
            <rFont val="Tahoma"/>
            <family val="2"/>
          </rPr>
          <t xml:space="preserve">Minimum Height/Drop is 300mm.
Maximum Height/Drop is 3000mm. </t>
        </r>
      </text>
    </comment>
    <comment ref="H47" authorId="0" shapeId="0" xr:uid="{00000000-0006-0000-0400-00000E020000}">
      <text>
        <r>
          <rPr>
            <sz val="8"/>
            <color indexed="81"/>
            <rFont val="Tahoma"/>
            <family val="2"/>
          </rPr>
          <t>When selecting a
Corner or Bay 
Window Type, 
the 
CMB Corner WS 
or 
CMB Bay WS 
must be completed.</t>
        </r>
      </text>
    </comment>
    <comment ref="J47" authorId="0" shapeId="0" xr:uid="{00000000-0006-0000-0400-00000F020000}">
      <text>
        <r>
          <rPr>
            <sz val="8"/>
            <color indexed="81"/>
            <rFont val="Tahoma"/>
            <family val="2"/>
          </rPr>
          <t>ACT 
Actual Measurements
You have made the allowances.
NAM
No Allowances Made 
The factory will make the deductions.</t>
        </r>
      </text>
    </comment>
    <comment ref="M47" authorId="0" shapeId="0" xr:uid="{00000000-0006-0000-0400-000010020000}">
      <text>
        <r>
          <rPr>
            <sz val="8"/>
            <color indexed="81"/>
            <rFont val="Tahoma"/>
            <family val="2"/>
          </rPr>
          <t xml:space="preserve">
Bottom Rail Colour options;
Clear Anodised
Metallic Black
Mocha
White
White Birch</t>
        </r>
      </text>
    </comment>
    <comment ref="O47" authorId="0" shapeId="0" xr:uid="{00000000-0006-0000-0400-000011020000}">
      <text>
        <r>
          <rPr>
            <sz val="8"/>
            <color indexed="81"/>
            <rFont val="Tahoma"/>
            <family val="2"/>
          </rPr>
          <t>Control Options are;
Left
Right
When Bracket Type is Link Together, 
Left or Right can only be selected once per Linked Set.</t>
        </r>
      </text>
    </comment>
    <comment ref="Q47" authorId="0" shapeId="0" xr:uid="{00000000-0006-0000-0400-000012020000}">
      <text>
        <r>
          <rPr>
            <sz val="8"/>
            <color indexed="81"/>
            <rFont val="Tahoma"/>
            <family val="2"/>
          </rPr>
          <t>Chain Length options are; 
Default
500mm
750mm
1000mm
1250mm
1500mm
2000mm</t>
        </r>
      </text>
    </comment>
    <comment ref="R47" authorId="0" shapeId="0" xr:uid="{00000000-0006-0000-0400-000013020000}">
      <text>
        <r>
          <rPr>
            <sz val="8"/>
            <color indexed="81"/>
            <rFont val="Tahoma"/>
            <family val="2"/>
          </rPr>
          <t>Chain Colour options are; 
White
White Birch
Black
Nickel Plated Brass
Stainless Steel</t>
        </r>
      </text>
    </comment>
    <comment ref="S47" authorId="0" shapeId="0" xr:uid="{00000000-0006-0000-0400-000014020000}">
      <text>
        <r>
          <rPr>
            <sz val="8"/>
            <color indexed="81"/>
            <rFont val="Tahoma"/>
            <family val="2"/>
          </rPr>
          <t>When
 Standard or Common 
is selected the 
Pelmet Colour 
must be entered.</t>
        </r>
      </text>
    </comment>
    <comment ref="W47" authorId="0" shapeId="0" xr:uid="{00000000-0006-0000-0400-000015020000}">
      <text>
        <r>
          <rPr>
            <sz val="8"/>
            <color indexed="81"/>
            <rFont val="Tahoma"/>
            <family val="2"/>
          </rPr>
          <t>Bracket Options include:
All other options;
Standard
Double
Link
Double Link</t>
        </r>
      </text>
    </comment>
    <comment ref="X47" authorId="0" shapeId="0" xr:uid="{00000000-0006-0000-0400-000016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8" authorId="0" shapeId="0" xr:uid="{00000000-0006-0000-0400-000017020000}">
      <text>
        <r>
          <rPr>
            <sz val="8"/>
            <color indexed="81"/>
            <rFont val="Tahoma"/>
            <family val="2"/>
          </rPr>
          <t>Products options are;
London
Maui
Paris
Sunscreen</t>
        </r>
      </text>
    </comment>
    <comment ref="E48" authorId="0" shapeId="0" xr:uid="{00000000-0006-0000-0400-000018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8" authorId="0" shapeId="0" xr:uid="{00000000-0006-0000-0400-000019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8" authorId="0" shapeId="0" xr:uid="{00000000-0006-0000-0400-00001A020000}">
      <text>
        <r>
          <rPr>
            <sz val="8"/>
            <color indexed="81"/>
            <rFont val="Tahoma"/>
            <family val="2"/>
          </rPr>
          <t xml:space="preserve">Minimum Height/Drop is 300mm.
Maximum Height/Drop is 3000mm. </t>
        </r>
      </text>
    </comment>
    <comment ref="H48" authorId="0" shapeId="0" xr:uid="{00000000-0006-0000-0400-00001B020000}">
      <text>
        <r>
          <rPr>
            <sz val="8"/>
            <color indexed="81"/>
            <rFont val="Tahoma"/>
            <family val="2"/>
          </rPr>
          <t>When selecting a
Corner or Bay 
Window Type, 
the 
CMB Corner WS 
or 
CMB Bay WS 
must be completed.</t>
        </r>
      </text>
    </comment>
    <comment ref="J48" authorId="0" shapeId="0" xr:uid="{00000000-0006-0000-0400-00001C020000}">
      <text>
        <r>
          <rPr>
            <sz val="8"/>
            <color indexed="81"/>
            <rFont val="Tahoma"/>
            <family val="2"/>
          </rPr>
          <t>ACT 
Actual Measurements
You have made the allowances.
NAM
No Allowances Made 
The factory will make the deductions.</t>
        </r>
      </text>
    </comment>
    <comment ref="M48" authorId="0" shapeId="0" xr:uid="{00000000-0006-0000-0400-00001D020000}">
      <text>
        <r>
          <rPr>
            <sz val="8"/>
            <color indexed="81"/>
            <rFont val="Tahoma"/>
            <family val="2"/>
          </rPr>
          <t xml:space="preserve">
Bottom Rail Colour options;
Clear Anodised
Metallic Black
Mocha
White
White Birch</t>
        </r>
      </text>
    </comment>
    <comment ref="O48" authorId="0" shapeId="0" xr:uid="{00000000-0006-0000-0400-00001E020000}">
      <text>
        <r>
          <rPr>
            <sz val="8"/>
            <color indexed="81"/>
            <rFont val="Tahoma"/>
            <family val="2"/>
          </rPr>
          <t>Control Options are;
Left
Right
When Bracket Type is Link Together, 
Left or Right can only be selected once per Linked Set.</t>
        </r>
      </text>
    </comment>
    <comment ref="Q48" authorId="0" shapeId="0" xr:uid="{00000000-0006-0000-0400-00001F020000}">
      <text>
        <r>
          <rPr>
            <sz val="8"/>
            <color indexed="81"/>
            <rFont val="Tahoma"/>
            <family val="2"/>
          </rPr>
          <t>Chain Length options are; 
Default
500mm
750mm
1000mm
1250mm
1500mm
2000mm</t>
        </r>
      </text>
    </comment>
    <comment ref="R48" authorId="0" shapeId="0" xr:uid="{00000000-0006-0000-0400-000020020000}">
      <text>
        <r>
          <rPr>
            <sz val="8"/>
            <color indexed="81"/>
            <rFont val="Tahoma"/>
            <family val="2"/>
          </rPr>
          <t>Chain Colour options are; 
White
White Birch
Black
Nickel Plated Brass
Stainless Steel</t>
        </r>
      </text>
    </comment>
    <comment ref="S48" authorId="0" shapeId="0" xr:uid="{00000000-0006-0000-0400-000021020000}">
      <text>
        <r>
          <rPr>
            <sz val="8"/>
            <color indexed="81"/>
            <rFont val="Tahoma"/>
            <family val="2"/>
          </rPr>
          <t>When
 Standard or Common 
is selected the 
Pelmet Colour 
must be entered.</t>
        </r>
      </text>
    </comment>
    <comment ref="W48" authorId="0" shapeId="0" xr:uid="{00000000-0006-0000-0400-000022020000}">
      <text>
        <r>
          <rPr>
            <sz val="8"/>
            <color indexed="81"/>
            <rFont val="Tahoma"/>
            <family val="2"/>
          </rPr>
          <t>Bracket Options include:
All other options;
Standard
Double
Link
Double Link</t>
        </r>
      </text>
    </comment>
    <comment ref="X48" authorId="0" shapeId="0" xr:uid="{00000000-0006-0000-0400-000023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9" authorId="0" shapeId="0" xr:uid="{00000000-0006-0000-0400-000024020000}">
      <text>
        <r>
          <rPr>
            <sz val="8"/>
            <color indexed="81"/>
            <rFont val="Tahoma"/>
            <family val="2"/>
          </rPr>
          <t>Products options are;
London
Maui
Paris
Sunscreen</t>
        </r>
      </text>
    </comment>
    <comment ref="E49" authorId="0" shapeId="0" xr:uid="{00000000-0006-0000-0400-000025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9" authorId="0" shapeId="0" xr:uid="{00000000-0006-0000-0400-000026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9" authorId="0" shapeId="0" xr:uid="{00000000-0006-0000-0400-000027020000}">
      <text>
        <r>
          <rPr>
            <sz val="8"/>
            <color indexed="81"/>
            <rFont val="Tahoma"/>
            <family val="2"/>
          </rPr>
          <t xml:space="preserve">Minimum Height/Drop is 300mm.
Maximum Height/Drop is 3000mm. </t>
        </r>
      </text>
    </comment>
    <comment ref="H49" authorId="0" shapeId="0" xr:uid="{00000000-0006-0000-0400-000028020000}">
      <text>
        <r>
          <rPr>
            <sz val="8"/>
            <color indexed="81"/>
            <rFont val="Tahoma"/>
            <family val="2"/>
          </rPr>
          <t>When selecting a
Corner or Bay 
Window Type, 
the 
CMB Corner WS 
or 
CMB Bay WS 
must be completed.</t>
        </r>
      </text>
    </comment>
    <comment ref="J49" authorId="0" shapeId="0" xr:uid="{00000000-0006-0000-0400-000029020000}">
      <text>
        <r>
          <rPr>
            <sz val="8"/>
            <color indexed="81"/>
            <rFont val="Tahoma"/>
            <family val="2"/>
          </rPr>
          <t>ACT 
Actual Measurements
You have made the allowances.
NAM
No Allowances Made 
The factory will make the deductions.</t>
        </r>
      </text>
    </comment>
    <comment ref="M49" authorId="0" shapeId="0" xr:uid="{00000000-0006-0000-0400-00002A020000}">
      <text>
        <r>
          <rPr>
            <sz val="8"/>
            <color indexed="81"/>
            <rFont val="Tahoma"/>
            <family val="2"/>
          </rPr>
          <t xml:space="preserve">
Bottom Rail Colour options;
Clear Anodised
Metallic Black
Mocha
White
White Birch</t>
        </r>
      </text>
    </comment>
    <comment ref="O49" authorId="0" shapeId="0" xr:uid="{00000000-0006-0000-0400-00002B020000}">
      <text>
        <r>
          <rPr>
            <sz val="8"/>
            <color indexed="81"/>
            <rFont val="Tahoma"/>
            <family val="2"/>
          </rPr>
          <t>Control Options are;
Left
Right
When Bracket Type is Link Together, 
Left or Right can only be selected once per Linked Set.</t>
        </r>
      </text>
    </comment>
    <comment ref="Q49" authorId="0" shapeId="0" xr:uid="{00000000-0006-0000-0400-00002C020000}">
      <text>
        <r>
          <rPr>
            <sz val="8"/>
            <color indexed="81"/>
            <rFont val="Tahoma"/>
            <family val="2"/>
          </rPr>
          <t>Chain Length options are; 
Default
500mm
750mm
1000mm
1250mm
1500mm
2000mm</t>
        </r>
      </text>
    </comment>
    <comment ref="R49" authorId="0" shapeId="0" xr:uid="{00000000-0006-0000-0400-00002D020000}">
      <text>
        <r>
          <rPr>
            <sz val="8"/>
            <color indexed="81"/>
            <rFont val="Tahoma"/>
            <family val="2"/>
          </rPr>
          <t>Chain Colour options are; 
White
White Birch
Black
Nickel Plated Brass
Stainless Steel</t>
        </r>
      </text>
    </comment>
    <comment ref="S49" authorId="0" shapeId="0" xr:uid="{00000000-0006-0000-0400-00002E020000}">
      <text>
        <r>
          <rPr>
            <sz val="8"/>
            <color indexed="81"/>
            <rFont val="Tahoma"/>
            <family val="2"/>
          </rPr>
          <t>When
 Standard or Common 
is selected the 
Pelmet Colour 
must be entered.</t>
        </r>
      </text>
    </comment>
    <comment ref="W49" authorId="0" shapeId="0" xr:uid="{00000000-0006-0000-0400-00002F020000}">
      <text>
        <r>
          <rPr>
            <sz val="8"/>
            <color indexed="81"/>
            <rFont val="Tahoma"/>
            <family val="2"/>
          </rPr>
          <t>Bracket Options include:
All other options;
Standard
Double
Link
Double Link</t>
        </r>
      </text>
    </comment>
    <comment ref="X49" authorId="0" shapeId="0" xr:uid="{00000000-0006-0000-0400-000030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0" authorId="0" shapeId="0" xr:uid="{00000000-0006-0000-0400-000031020000}">
      <text>
        <r>
          <rPr>
            <sz val="8"/>
            <color indexed="81"/>
            <rFont val="Tahoma"/>
            <family val="2"/>
          </rPr>
          <t>Products options are;
London
Maui
Paris
Sunscreen</t>
        </r>
      </text>
    </comment>
    <comment ref="E50" authorId="0" shapeId="0" xr:uid="{00000000-0006-0000-0400-000032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0" authorId="0" shapeId="0" xr:uid="{00000000-0006-0000-0400-000033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0" authorId="0" shapeId="0" xr:uid="{00000000-0006-0000-0400-000034020000}">
      <text>
        <r>
          <rPr>
            <sz val="8"/>
            <color indexed="81"/>
            <rFont val="Tahoma"/>
            <family val="2"/>
          </rPr>
          <t xml:space="preserve">Minimum Height/Drop is 300mm.
Maximum Height/Drop is 3000mm. </t>
        </r>
      </text>
    </comment>
    <comment ref="H50" authorId="0" shapeId="0" xr:uid="{00000000-0006-0000-0400-000035020000}">
      <text>
        <r>
          <rPr>
            <sz val="8"/>
            <color indexed="81"/>
            <rFont val="Tahoma"/>
            <family val="2"/>
          </rPr>
          <t>When selecting a
Corner or Bay 
Window Type, 
the 
CMB Corner WS 
or 
CMB Bay WS 
must be completed.</t>
        </r>
      </text>
    </comment>
    <comment ref="J50" authorId="0" shapeId="0" xr:uid="{00000000-0006-0000-0400-000036020000}">
      <text>
        <r>
          <rPr>
            <sz val="8"/>
            <color indexed="81"/>
            <rFont val="Tahoma"/>
            <family val="2"/>
          </rPr>
          <t>ACT 
Actual Measurements
You have made the allowances.
NAM
No Allowances Made 
The factory will make the deductions.</t>
        </r>
      </text>
    </comment>
    <comment ref="M50" authorId="0" shapeId="0" xr:uid="{00000000-0006-0000-0400-000037020000}">
      <text>
        <r>
          <rPr>
            <sz val="8"/>
            <color indexed="81"/>
            <rFont val="Tahoma"/>
            <family val="2"/>
          </rPr>
          <t xml:space="preserve">
Bottom Rail Colour options;
Clear Anodised
Metallic Black
Mocha
White
White Birch</t>
        </r>
      </text>
    </comment>
    <comment ref="O50" authorId="0" shapeId="0" xr:uid="{00000000-0006-0000-0400-000038020000}">
      <text>
        <r>
          <rPr>
            <sz val="8"/>
            <color indexed="81"/>
            <rFont val="Tahoma"/>
            <family val="2"/>
          </rPr>
          <t>Control Options are;
Left
Right
When Bracket Type is Link Together, 
Left or Right can only be selected once per Linked Set.</t>
        </r>
      </text>
    </comment>
    <comment ref="Q50" authorId="0" shapeId="0" xr:uid="{00000000-0006-0000-0400-000039020000}">
      <text>
        <r>
          <rPr>
            <sz val="8"/>
            <color indexed="81"/>
            <rFont val="Tahoma"/>
            <family val="2"/>
          </rPr>
          <t>Chain Length options are; 
Default
500mm
750mm
1000mm
1250mm
1500mm
2000mm</t>
        </r>
      </text>
    </comment>
    <comment ref="R50" authorId="0" shapeId="0" xr:uid="{00000000-0006-0000-0400-00003A020000}">
      <text>
        <r>
          <rPr>
            <sz val="8"/>
            <color indexed="81"/>
            <rFont val="Tahoma"/>
            <family val="2"/>
          </rPr>
          <t>Chain Colour options are; 
White
White Birch
Black
Nickel Plated Brass
Stainless Steel</t>
        </r>
      </text>
    </comment>
    <comment ref="S50" authorId="0" shapeId="0" xr:uid="{00000000-0006-0000-0400-00003B020000}">
      <text>
        <r>
          <rPr>
            <sz val="8"/>
            <color indexed="81"/>
            <rFont val="Tahoma"/>
            <family val="2"/>
          </rPr>
          <t>When
 Standard or Common 
is selected the 
Pelmet Colour 
must be entered.</t>
        </r>
      </text>
    </comment>
    <comment ref="W50" authorId="0" shapeId="0" xr:uid="{00000000-0006-0000-0400-00003C020000}">
      <text>
        <r>
          <rPr>
            <sz val="8"/>
            <color indexed="81"/>
            <rFont val="Tahoma"/>
            <family val="2"/>
          </rPr>
          <t>Bracket Options include:
All other options;
Standard
Double
Link
Double Link</t>
        </r>
      </text>
    </comment>
    <comment ref="X50" authorId="0" shapeId="0" xr:uid="{00000000-0006-0000-0400-00003D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1" authorId="0" shapeId="0" xr:uid="{00000000-0006-0000-0400-00003E020000}">
      <text>
        <r>
          <rPr>
            <sz val="8"/>
            <color indexed="81"/>
            <rFont val="Tahoma"/>
            <family val="2"/>
          </rPr>
          <t>Products options are;
London
Maui
Paris
Sunscreen</t>
        </r>
      </text>
    </comment>
    <comment ref="E51" authorId="0" shapeId="0" xr:uid="{00000000-0006-0000-0400-00003F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1" authorId="0" shapeId="0" xr:uid="{00000000-0006-0000-0400-000040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1" authorId="0" shapeId="0" xr:uid="{00000000-0006-0000-0400-000041020000}">
      <text>
        <r>
          <rPr>
            <sz val="8"/>
            <color indexed="81"/>
            <rFont val="Tahoma"/>
            <family val="2"/>
          </rPr>
          <t xml:space="preserve">Minimum Height/Drop is 300mm.
Maximum Height/Drop is 3000mm. </t>
        </r>
      </text>
    </comment>
    <comment ref="H51" authorId="0" shapeId="0" xr:uid="{00000000-0006-0000-0400-000042020000}">
      <text>
        <r>
          <rPr>
            <sz val="8"/>
            <color indexed="81"/>
            <rFont val="Tahoma"/>
            <family val="2"/>
          </rPr>
          <t>When selecting a
Corner or Bay 
Window Type, 
the 
CMB Corner WS 
or 
CMB Bay WS 
must be completed.</t>
        </r>
      </text>
    </comment>
    <comment ref="J51" authorId="0" shapeId="0" xr:uid="{00000000-0006-0000-0400-000043020000}">
      <text>
        <r>
          <rPr>
            <sz val="8"/>
            <color indexed="81"/>
            <rFont val="Tahoma"/>
            <family val="2"/>
          </rPr>
          <t>ACT 
Actual Measurements
You have made the allowances.
NAM
No Allowances Made 
The factory will make the deductions.</t>
        </r>
      </text>
    </comment>
    <comment ref="M51" authorId="0" shapeId="0" xr:uid="{00000000-0006-0000-0400-000044020000}">
      <text>
        <r>
          <rPr>
            <sz val="8"/>
            <color indexed="81"/>
            <rFont val="Tahoma"/>
            <family val="2"/>
          </rPr>
          <t xml:space="preserve">
Bottom Rail Colour options;
Clear Anodised
Metallic Black
Mocha
White
White Birch</t>
        </r>
      </text>
    </comment>
    <comment ref="O51" authorId="0" shapeId="0" xr:uid="{00000000-0006-0000-0400-000045020000}">
      <text>
        <r>
          <rPr>
            <sz val="8"/>
            <color indexed="81"/>
            <rFont val="Tahoma"/>
            <family val="2"/>
          </rPr>
          <t>Control Options are;
Left
Right
When Bracket Type is Link Together, 
Left or Right can only be selected once per Linked Set.</t>
        </r>
      </text>
    </comment>
    <comment ref="Q51" authorId="0" shapeId="0" xr:uid="{00000000-0006-0000-0400-000046020000}">
      <text>
        <r>
          <rPr>
            <sz val="8"/>
            <color indexed="81"/>
            <rFont val="Tahoma"/>
            <family val="2"/>
          </rPr>
          <t>Chain Length options are; 
Default
500mm
750mm
1000mm
1250mm
1500mm
2000mm</t>
        </r>
      </text>
    </comment>
    <comment ref="R51" authorId="0" shapeId="0" xr:uid="{00000000-0006-0000-0400-000047020000}">
      <text>
        <r>
          <rPr>
            <sz val="8"/>
            <color indexed="81"/>
            <rFont val="Tahoma"/>
            <family val="2"/>
          </rPr>
          <t>Chain Colour options are; 
White
White Birch
Black
Nickel Plated Brass
Stainless Steel</t>
        </r>
      </text>
    </comment>
    <comment ref="S51" authorId="0" shapeId="0" xr:uid="{00000000-0006-0000-0400-000048020000}">
      <text>
        <r>
          <rPr>
            <sz val="8"/>
            <color indexed="81"/>
            <rFont val="Tahoma"/>
            <family val="2"/>
          </rPr>
          <t>When
 Standard or Common 
is selected the 
Pelmet Colour 
must be entered.</t>
        </r>
      </text>
    </comment>
    <comment ref="W51" authorId="0" shapeId="0" xr:uid="{00000000-0006-0000-0400-000049020000}">
      <text>
        <r>
          <rPr>
            <sz val="8"/>
            <color indexed="81"/>
            <rFont val="Tahoma"/>
            <family val="2"/>
          </rPr>
          <t>Bracket Options include:
All other options;
Standard
Double
Link
Double Link</t>
        </r>
      </text>
    </comment>
    <comment ref="X51" authorId="0" shapeId="0" xr:uid="{00000000-0006-0000-0400-00004A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2" authorId="0" shapeId="0" xr:uid="{00000000-0006-0000-0400-00004B020000}">
      <text>
        <r>
          <rPr>
            <sz val="8"/>
            <color indexed="81"/>
            <rFont val="Tahoma"/>
            <family val="2"/>
          </rPr>
          <t>Products options are;
London
Maui
Paris
Sunscreen</t>
        </r>
      </text>
    </comment>
    <comment ref="E52" authorId="0" shapeId="0" xr:uid="{00000000-0006-0000-0400-00004C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2" authorId="0" shapeId="0" xr:uid="{00000000-0006-0000-0400-00004D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2" authorId="0" shapeId="0" xr:uid="{00000000-0006-0000-0400-00004E020000}">
      <text>
        <r>
          <rPr>
            <sz val="8"/>
            <color indexed="81"/>
            <rFont val="Tahoma"/>
            <family val="2"/>
          </rPr>
          <t xml:space="preserve">Minimum Height/Drop is 300mm.
Maximum Height/Drop is 3000mm. </t>
        </r>
      </text>
    </comment>
    <comment ref="H52" authorId="0" shapeId="0" xr:uid="{00000000-0006-0000-0400-00004F020000}">
      <text>
        <r>
          <rPr>
            <sz val="8"/>
            <color indexed="81"/>
            <rFont val="Tahoma"/>
            <family val="2"/>
          </rPr>
          <t>When selecting a
Corner or Bay 
Window Type, 
the 
CMB Corner WS 
or 
CMB Bay WS 
must be completed.</t>
        </r>
      </text>
    </comment>
    <comment ref="J52" authorId="0" shapeId="0" xr:uid="{00000000-0006-0000-0400-000050020000}">
      <text>
        <r>
          <rPr>
            <sz val="8"/>
            <color indexed="81"/>
            <rFont val="Tahoma"/>
            <family val="2"/>
          </rPr>
          <t>ACT 
Actual Measurements
You have made the allowances.
NAM
No Allowances Made 
The factory will make the deductions.</t>
        </r>
      </text>
    </comment>
    <comment ref="M52" authorId="0" shapeId="0" xr:uid="{00000000-0006-0000-0400-000051020000}">
      <text>
        <r>
          <rPr>
            <sz val="8"/>
            <color indexed="81"/>
            <rFont val="Tahoma"/>
            <family val="2"/>
          </rPr>
          <t xml:space="preserve">
Bottom Rail Colour options;
Clear Anodised
Metallic Black
Mocha
White
White Birch</t>
        </r>
      </text>
    </comment>
    <comment ref="O52" authorId="0" shapeId="0" xr:uid="{00000000-0006-0000-0400-000052020000}">
      <text>
        <r>
          <rPr>
            <sz val="8"/>
            <color indexed="81"/>
            <rFont val="Tahoma"/>
            <family val="2"/>
          </rPr>
          <t>Control Options are;
Left
Right
When Bracket Type is Link Together, 
Left or Right can only be selected once per Linked Set.</t>
        </r>
      </text>
    </comment>
    <comment ref="Q52" authorId="0" shapeId="0" xr:uid="{00000000-0006-0000-0400-000053020000}">
      <text>
        <r>
          <rPr>
            <sz val="8"/>
            <color indexed="81"/>
            <rFont val="Tahoma"/>
            <family val="2"/>
          </rPr>
          <t>Chain Length options are; 
Default
500mm
750mm
1000mm
1250mm
1500mm
2000mm</t>
        </r>
      </text>
    </comment>
    <comment ref="R52" authorId="0" shapeId="0" xr:uid="{00000000-0006-0000-0400-000054020000}">
      <text>
        <r>
          <rPr>
            <sz val="8"/>
            <color indexed="81"/>
            <rFont val="Tahoma"/>
            <family val="2"/>
          </rPr>
          <t>Chain Colour options are; 
White
White Birch
Black
Nickel Plated Brass
Stainless Steel</t>
        </r>
      </text>
    </comment>
    <comment ref="S52" authorId="0" shapeId="0" xr:uid="{00000000-0006-0000-0400-000055020000}">
      <text>
        <r>
          <rPr>
            <sz val="8"/>
            <color indexed="81"/>
            <rFont val="Tahoma"/>
            <family val="2"/>
          </rPr>
          <t>When
 Standard or Common 
is selected the 
Pelmet Colour 
must be entered.</t>
        </r>
      </text>
    </comment>
    <comment ref="W52" authorId="0" shapeId="0" xr:uid="{00000000-0006-0000-0400-000056020000}">
      <text>
        <r>
          <rPr>
            <sz val="8"/>
            <color indexed="81"/>
            <rFont val="Tahoma"/>
            <family val="2"/>
          </rPr>
          <t>Bracket Options include:
All other options;
Standard
Double
Link
Double Link</t>
        </r>
      </text>
    </comment>
    <comment ref="X52" authorId="0" shapeId="0" xr:uid="{00000000-0006-0000-0400-000057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3" authorId="0" shapeId="0" xr:uid="{00000000-0006-0000-0400-000058020000}">
      <text>
        <r>
          <rPr>
            <sz val="8"/>
            <color indexed="81"/>
            <rFont val="Tahoma"/>
            <family val="2"/>
          </rPr>
          <t>Products options are;
London
Maui
Paris
Sunscreen</t>
        </r>
      </text>
    </comment>
    <comment ref="E53" authorId="0" shapeId="0" xr:uid="{00000000-0006-0000-0400-000059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3" authorId="0" shapeId="0" xr:uid="{00000000-0006-0000-0400-00005A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3" authorId="0" shapeId="0" xr:uid="{00000000-0006-0000-0400-00005B020000}">
      <text>
        <r>
          <rPr>
            <sz val="8"/>
            <color indexed="81"/>
            <rFont val="Tahoma"/>
            <family val="2"/>
          </rPr>
          <t xml:space="preserve">Minimum Height/Drop is 300mm.
Maximum Height/Drop is 3000mm. </t>
        </r>
      </text>
    </comment>
    <comment ref="H53" authorId="0" shapeId="0" xr:uid="{00000000-0006-0000-0400-00005C020000}">
      <text>
        <r>
          <rPr>
            <sz val="8"/>
            <color indexed="81"/>
            <rFont val="Tahoma"/>
            <family val="2"/>
          </rPr>
          <t>When selecting a
Corner or Bay 
Window Type, 
the 
CMB Corner WS 
or 
CMB Bay WS 
must be completed.</t>
        </r>
      </text>
    </comment>
    <comment ref="J53" authorId="0" shapeId="0" xr:uid="{00000000-0006-0000-0400-00005D020000}">
      <text>
        <r>
          <rPr>
            <sz val="8"/>
            <color indexed="81"/>
            <rFont val="Tahoma"/>
            <family val="2"/>
          </rPr>
          <t>ACT 
Actual Measurements
You have made the allowances.
NAM
No Allowances Made 
The factory will make the deductions.</t>
        </r>
      </text>
    </comment>
    <comment ref="M53" authorId="0" shapeId="0" xr:uid="{00000000-0006-0000-0400-00005E020000}">
      <text>
        <r>
          <rPr>
            <sz val="8"/>
            <color indexed="81"/>
            <rFont val="Tahoma"/>
            <family val="2"/>
          </rPr>
          <t xml:space="preserve">
Bottom Rail Colour options;
Clear Anodised
Metallic Black
Mocha
White
White Birch</t>
        </r>
      </text>
    </comment>
    <comment ref="O53" authorId="0" shapeId="0" xr:uid="{00000000-0006-0000-0400-00005F020000}">
      <text>
        <r>
          <rPr>
            <sz val="8"/>
            <color indexed="81"/>
            <rFont val="Tahoma"/>
            <family val="2"/>
          </rPr>
          <t>Control Options are;
Left
Right
When Bracket Type is Link Together, 
Left or Right can only be selected once per Linked Set.</t>
        </r>
      </text>
    </comment>
    <comment ref="Q53" authorId="0" shapeId="0" xr:uid="{00000000-0006-0000-0400-000060020000}">
      <text>
        <r>
          <rPr>
            <sz val="8"/>
            <color indexed="81"/>
            <rFont val="Tahoma"/>
            <family val="2"/>
          </rPr>
          <t>Chain Length options are; 
Default
500mm
750mm
1000mm
1250mm
1500mm
2000mm</t>
        </r>
      </text>
    </comment>
    <comment ref="R53" authorId="0" shapeId="0" xr:uid="{00000000-0006-0000-0400-000061020000}">
      <text>
        <r>
          <rPr>
            <sz val="8"/>
            <color indexed="81"/>
            <rFont val="Tahoma"/>
            <family val="2"/>
          </rPr>
          <t>Chain Colour options are; 
White
White Birch
Black
Nickel Plated Brass
Stainless Steel</t>
        </r>
      </text>
    </comment>
    <comment ref="S53" authorId="0" shapeId="0" xr:uid="{00000000-0006-0000-0400-000062020000}">
      <text>
        <r>
          <rPr>
            <sz val="8"/>
            <color indexed="81"/>
            <rFont val="Tahoma"/>
            <family val="2"/>
          </rPr>
          <t>When
 Standard or Common 
is selected the 
Pelmet Colour 
must be entered.</t>
        </r>
      </text>
    </comment>
    <comment ref="W53" authorId="0" shapeId="0" xr:uid="{00000000-0006-0000-0400-000063020000}">
      <text>
        <r>
          <rPr>
            <sz val="8"/>
            <color indexed="81"/>
            <rFont val="Tahoma"/>
            <family val="2"/>
          </rPr>
          <t>Bracket Options include:
All other options;
Standard
Double
Link
Double Link</t>
        </r>
      </text>
    </comment>
    <comment ref="X53" authorId="0" shapeId="0" xr:uid="{00000000-0006-0000-0400-000064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4" authorId="0" shapeId="0" xr:uid="{00000000-0006-0000-0400-000065020000}">
      <text>
        <r>
          <rPr>
            <sz val="8"/>
            <color indexed="81"/>
            <rFont val="Tahoma"/>
            <family val="2"/>
          </rPr>
          <t>Products options are;
London
Maui
Paris
Sunscreen</t>
        </r>
      </text>
    </comment>
    <comment ref="E54" authorId="0" shapeId="0" xr:uid="{00000000-0006-0000-0400-000066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4" authorId="0" shapeId="0" xr:uid="{00000000-0006-0000-0400-000067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4" authorId="0" shapeId="0" xr:uid="{00000000-0006-0000-0400-000068020000}">
      <text>
        <r>
          <rPr>
            <sz val="8"/>
            <color indexed="81"/>
            <rFont val="Tahoma"/>
            <family val="2"/>
          </rPr>
          <t xml:space="preserve">Minimum Height/Drop is 300mm.
Maximum Height/Drop is 3000mm. </t>
        </r>
      </text>
    </comment>
    <comment ref="H54" authorId="0" shapeId="0" xr:uid="{00000000-0006-0000-0400-000069020000}">
      <text>
        <r>
          <rPr>
            <sz val="8"/>
            <color indexed="81"/>
            <rFont val="Tahoma"/>
            <family val="2"/>
          </rPr>
          <t>When selecting a
Corner or Bay 
Window Type, 
the 
CMB Corner WS 
or 
CMB Bay WS 
must be completed.</t>
        </r>
      </text>
    </comment>
    <comment ref="J54" authorId="0" shapeId="0" xr:uid="{00000000-0006-0000-0400-00006A020000}">
      <text>
        <r>
          <rPr>
            <sz val="8"/>
            <color indexed="81"/>
            <rFont val="Tahoma"/>
            <family val="2"/>
          </rPr>
          <t>ACT 
Actual Measurements
You have made the allowances.
NAM
No Allowances Made 
The factory will make the deductions.</t>
        </r>
      </text>
    </comment>
    <comment ref="M54" authorId="0" shapeId="0" xr:uid="{00000000-0006-0000-0400-00006B020000}">
      <text>
        <r>
          <rPr>
            <sz val="8"/>
            <color indexed="81"/>
            <rFont val="Tahoma"/>
            <family val="2"/>
          </rPr>
          <t xml:space="preserve">
Bottom Rail Colour options;
Clear Anodised
Metallic Black
Mocha
White
White Birch</t>
        </r>
      </text>
    </comment>
    <comment ref="O54" authorId="0" shapeId="0" xr:uid="{00000000-0006-0000-0400-00006C020000}">
      <text>
        <r>
          <rPr>
            <sz val="8"/>
            <color indexed="81"/>
            <rFont val="Tahoma"/>
            <family val="2"/>
          </rPr>
          <t>Control Options are;
Left
Right
When Bracket Type is Link Together, 
Left or Right can only be selected once per Linked Set.</t>
        </r>
      </text>
    </comment>
    <comment ref="Q54" authorId="0" shapeId="0" xr:uid="{00000000-0006-0000-0400-00006D020000}">
      <text>
        <r>
          <rPr>
            <sz val="8"/>
            <color indexed="81"/>
            <rFont val="Tahoma"/>
            <family val="2"/>
          </rPr>
          <t>Chain Length options are; 
Default
500mm
750mm
1000mm
1250mm
1500mm
2000mm</t>
        </r>
      </text>
    </comment>
    <comment ref="R54" authorId="0" shapeId="0" xr:uid="{00000000-0006-0000-0400-00006E020000}">
      <text>
        <r>
          <rPr>
            <sz val="8"/>
            <color indexed="81"/>
            <rFont val="Tahoma"/>
            <family val="2"/>
          </rPr>
          <t>Chain Colour options are; 
White
White Birch
Black
Nickel Plated Brass
Stainless Steel</t>
        </r>
      </text>
    </comment>
    <comment ref="S54" authorId="0" shapeId="0" xr:uid="{00000000-0006-0000-0400-00006F020000}">
      <text>
        <r>
          <rPr>
            <sz val="8"/>
            <color indexed="81"/>
            <rFont val="Tahoma"/>
            <family val="2"/>
          </rPr>
          <t>When
 Standard or Common 
is selected the 
Pelmet Colour 
must be entered.</t>
        </r>
      </text>
    </comment>
    <comment ref="W54" authorId="0" shapeId="0" xr:uid="{00000000-0006-0000-0400-000070020000}">
      <text>
        <r>
          <rPr>
            <sz val="8"/>
            <color indexed="81"/>
            <rFont val="Tahoma"/>
            <family val="2"/>
          </rPr>
          <t>Bracket Options include:
All other options;
Standard
Double
Link
Double Link</t>
        </r>
      </text>
    </comment>
    <comment ref="X54" authorId="0" shapeId="0" xr:uid="{00000000-0006-0000-0400-000071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5" authorId="0" shapeId="0" xr:uid="{00000000-0006-0000-0400-000072020000}">
      <text>
        <r>
          <rPr>
            <sz val="8"/>
            <color indexed="81"/>
            <rFont val="Tahoma"/>
            <family val="2"/>
          </rPr>
          <t>Products options are;
London
Maui
Paris
Sunscreen</t>
        </r>
      </text>
    </comment>
    <comment ref="E55" authorId="0" shapeId="0" xr:uid="{00000000-0006-0000-0400-000073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5" authorId="0" shapeId="0" xr:uid="{00000000-0006-0000-0400-000074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5" authorId="0" shapeId="0" xr:uid="{00000000-0006-0000-0400-000075020000}">
      <text>
        <r>
          <rPr>
            <sz val="8"/>
            <color indexed="81"/>
            <rFont val="Tahoma"/>
            <family val="2"/>
          </rPr>
          <t xml:space="preserve">Minimum Height/Drop is 300mm.
Maximum Height/Drop is 3000mm. </t>
        </r>
      </text>
    </comment>
    <comment ref="H55" authorId="0" shapeId="0" xr:uid="{00000000-0006-0000-0400-000076020000}">
      <text>
        <r>
          <rPr>
            <sz val="8"/>
            <color indexed="81"/>
            <rFont val="Tahoma"/>
            <family val="2"/>
          </rPr>
          <t>When selecting a
Corner or Bay 
Window Type, 
the 
CMB Corner WS 
or 
CMB Bay WS 
must be completed.</t>
        </r>
      </text>
    </comment>
    <comment ref="J55" authorId="0" shapeId="0" xr:uid="{00000000-0006-0000-0400-000077020000}">
      <text>
        <r>
          <rPr>
            <sz val="8"/>
            <color indexed="81"/>
            <rFont val="Tahoma"/>
            <family val="2"/>
          </rPr>
          <t>ACT 
Actual Measurements
You have made the allowances.
NAM
No Allowances Made 
The factory will make the deductions.</t>
        </r>
      </text>
    </comment>
    <comment ref="M55" authorId="0" shapeId="0" xr:uid="{00000000-0006-0000-0400-000078020000}">
      <text>
        <r>
          <rPr>
            <sz val="8"/>
            <color indexed="81"/>
            <rFont val="Tahoma"/>
            <family val="2"/>
          </rPr>
          <t xml:space="preserve">
Bottom Rail Colour options;
Clear Anodised
Metallic Black
Mocha
White
White Birch</t>
        </r>
      </text>
    </comment>
    <comment ref="O55" authorId="0" shapeId="0" xr:uid="{00000000-0006-0000-0400-000079020000}">
      <text>
        <r>
          <rPr>
            <sz val="8"/>
            <color indexed="81"/>
            <rFont val="Tahoma"/>
            <family val="2"/>
          </rPr>
          <t>Control Options are;
Left
Right
When Bracket Type is Link Together, 
Left or Right can only be selected once per Linked Set.</t>
        </r>
      </text>
    </comment>
    <comment ref="Q55" authorId="0" shapeId="0" xr:uid="{00000000-0006-0000-0400-00007A020000}">
      <text>
        <r>
          <rPr>
            <sz val="8"/>
            <color indexed="81"/>
            <rFont val="Tahoma"/>
            <family val="2"/>
          </rPr>
          <t>Chain Length options are; 
Default
500mm
750mm
1000mm
1250mm
1500mm
2000mm</t>
        </r>
      </text>
    </comment>
    <comment ref="R55" authorId="0" shapeId="0" xr:uid="{00000000-0006-0000-0400-00007B020000}">
      <text>
        <r>
          <rPr>
            <sz val="8"/>
            <color indexed="81"/>
            <rFont val="Tahoma"/>
            <family val="2"/>
          </rPr>
          <t>Chain Colour options are; 
White
White Birch
Black
Nickel Plated Brass
Stainless Steel</t>
        </r>
      </text>
    </comment>
    <comment ref="S55" authorId="0" shapeId="0" xr:uid="{00000000-0006-0000-0400-00007C020000}">
      <text>
        <r>
          <rPr>
            <sz val="8"/>
            <color indexed="81"/>
            <rFont val="Tahoma"/>
            <family val="2"/>
          </rPr>
          <t>When
 Standard or Common 
is selected the 
Pelmet Colour 
must be entered.</t>
        </r>
      </text>
    </comment>
    <comment ref="W55" authorId="0" shapeId="0" xr:uid="{00000000-0006-0000-0400-00007D020000}">
      <text>
        <r>
          <rPr>
            <sz val="8"/>
            <color indexed="81"/>
            <rFont val="Tahoma"/>
            <family val="2"/>
          </rPr>
          <t>Bracket Options include:
All other options;
Standard
Double
Link
Double Link</t>
        </r>
      </text>
    </comment>
    <comment ref="X55" authorId="0" shapeId="0" xr:uid="{00000000-0006-0000-0400-00007E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6" authorId="0" shapeId="0" xr:uid="{00000000-0006-0000-0400-00007F020000}">
      <text>
        <r>
          <rPr>
            <sz val="8"/>
            <color indexed="81"/>
            <rFont val="Tahoma"/>
            <family val="2"/>
          </rPr>
          <t>Products options are;
London
Maui
Paris
Sunscreen</t>
        </r>
      </text>
    </comment>
    <comment ref="E56" authorId="0" shapeId="0" xr:uid="{00000000-0006-0000-0400-000080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6" authorId="0" shapeId="0" xr:uid="{00000000-0006-0000-0400-000081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6" authorId="0" shapeId="0" xr:uid="{00000000-0006-0000-0400-000082020000}">
      <text>
        <r>
          <rPr>
            <sz val="8"/>
            <color indexed="81"/>
            <rFont val="Tahoma"/>
            <family val="2"/>
          </rPr>
          <t xml:space="preserve">Minimum Height/Drop is 300mm.
Maximum Height/Drop is 3000mm. </t>
        </r>
      </text>
    </comment>
    <comment ref="H56" authorId="0" shapeId="0" xr:uid="{00000000-0006-0000-0400-000083020000}">
      <text>
        <r>
          <rPr>
            <sz val="8"/>
            <color indexed="81"/>
            <rFont val="Tahoma"/>
            <family val="2"/>
          </rPr>
          <t>When selecting a
Corner or Bay 
Window Type, 
the 
CMB Corner WS 
or 
CMB Bay WS 
must be completed.</t>
        </r>
      </text>
    </comment>
    <comment ref="J56" authorId="0" shapeId="0" xr:uid="{00000000-0006-0000-0400-000084020000}">
      <text>
        <r>
          <rPr>
            <sz val="8"/>
            <color indexed="81"/>
            <rFont val="Tahoma"/>
            <family val="2"/>
          </rPr>
          <t>ACT 
Actual Measurements
You have made the allowances.
NAM
No Allowances Made 
The factory will make the deductions.</t>
        </r>
      </text>
    </comment>
    <comment ref="M56" authorId="0" shapeId="0" xr:uid="{00000000-0006-0000-0400-000085020000}">
      <text>
        <r>
          <rPr>
            <sz val="8"/>
            <color indexed="81"/>
            <rFont val="Tahoma"/>
            <family val="2"/>
          </rPr>
          <t xml:space="preserve">
Bottom Rail Colour options;
Clear Anodised
Metallic Black
Mocha
White
White Birch</t>
        </r>
      </text>
    </comment>
    <comment ref="O56" authorId="0" shapeId="0" xr:uid="{00000000-0006-0000-0400-000086020000}">
      <text>
        <r>
          <rPr>
            <sz val="8"/>
            <color indexed="81"/>
            <rFont val="Tahoma"/>
            <family val="2"/>
          </rPr>
          <t>Control Options are;
Left
Right
When Bracket Type is Link Together, 
Left or Right can only be selected once per Linked Set.</t>
        </r>
      </text>
    </comment>
    <comment ref="Q56" authorId="0" shapeId="0" xr:uid="{00000000-0006-0000-0400-000087020000}">
      <text>
        <r>
          <rPr>
            <sz val="8"/>
            <color indexed="81"/>
            <rFont val="Tahoma"/>
            <family val="2"/>
          </rPr>
          <t>Chain Length options are; 
Default
500mm
750mm
1000mm
1250mm
1500mm
2000mm</t>
        </r>
      </text>
    </comment>
    <comment ref="R56" authorId="0" shapeId="0" xr:uid="{00000000-0006-0000-0400-000088020000}">
      <text>
        <r>
          <rPr>
            <sz val="8"/>
            <color indexed="81"/>
            <rFont val="Tahoma"/>
            <family val="2"/>
          </rPr>
          <t>Chain Colour options are; 
White
White Birch
Black
Nickel Plated Brass
Stainless Steel</t>
        </r>
      </text>
    </comment>
    <comment ref="S56" authorId="0" shapeId="0" xr:uid="{00000000-0006-0000-0400-000089020000}">
      <text>
        <r>
          <rPr>
            <sz val="8"/>
            <color indexed="81"/>
            <rFont val="Tahoma"/>
            <family val="2"/>
          </rPr>
          <t>When
 Standard or Common 
is selected the 
Pelmet Colour 
must be entered.</t>
        </r>
      </text>
    </comment>
    <comment ref="W56" authorId="0" shapeId="0" xr:uid="{00000000-0006-0000-0400-00008A020000}">
      <text>
        <r>
          <rPr>
            <sz val="8"/>
            <color indexed="81"/>
            <rFont val="Tahoma"/>
            <family val="2"/>
          </rPr>
          <t>Bracket Options include:
All other options;
Standard
Double
Link
Double Link</t>
        </r>
      </text>
    </comment>
    <comment ref="X56" authorId="0" shapeId="0" xr:uid="{00000000-0006-0000-0400-00008B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7" authorId="0" shapeId="0" xr:uid="{00000000-0006-0000-0400-00008C020000}">
      <text>
        <r>
          <rPr>
            <sz val="8"/>
            <color indexed="81"/>
            <rFont val="Tahoma"/>
            <family val="2"/>
          </rPr>
          <t>Products options are;
London
Maui
Paris
Sunscreen</t>
        </r>
      </text>
    </comment>
    <comment ref="E57" authorId="0" shapeId="0" xr:uid="{00000000-0006-0000-0400-00008D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7" authorId="0" shapeId="0" xr:uid="{00000000-0006-0000-0400-00008E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7" authorId="0" shapeId="0" xr:uid="{00000000-0006-0000-0400-00008F020000}">
      <text>
        <r>
          <rPr>
            <sz val="8"/>
            <color indexed="81"/>
            <rFont val="Tahoma"/>
            <family val="2"/>
          </rPr>
          <t xml:space="preserve">Minimum Height/Drop is 300mm.
Maximum Height/Drop is 3000mm. </t>
        </r>
      </text>
    </comment>
    <comment ref="H57" authorId="0" shapeId="0" xr:uid="{00000000-0006-0000-0400-000090020000}">
      <text>
        <r>
          <rPr>
            <sz val="8"/>
            <color indexed="81"/>
            <rFont val="Tahoma"/>
            <family val="2"/>
          </rPr>
          <t>When selecting a
Corner or Bay 
Window Type, 
the 
CMB Corner WS 
or 
CMB Bay WS 
must be completed.</t>
        </r>
      </text>
    </comment>
    <comment ref="J57" authorId="0" shapeId="0" xr:uid="{00000000-0006-0000-0400-000091020000}">
      <text>
        <r>
          <rPr>
            <sz val="8"/>
            <color indexed="81"/>
            <rFont val="Tahoma"/>
            <family val="2"/>
          </rPr>
          <t>ACT 
Actual Measurements
You have made the allowances.
NAM
No Allowances Made 
The factory will make the deductions.</t>
        </r>
      </text>
    </comment>
    <comment ref="M57" authorId="0" shapeId="0" xr:uid="{00000000-0006-0000-0400-000092020000}">
      <text>
        <r>
          <rPr>
            <sz val="8"/>
            <color indexed="81"/>
            <rFont val="Tahoma"/>
            <family val="2"/>
          </rPr>
          <t xml:space="preserve">
Bottom Rail Colour options;
Clear Anodised
Metallic Black
Mocha
White
White Birch</t>
        </r>
      </text>
    </comment>
    <comment ref="O57" authorId="0" shapeId="0" xr:uid="{00000000-0006-0000-0400-000093020000}">
      <text>
        <r>
          <rPr>
            <sz val="8"/>
            <color indexed="81"/>
            <rFont val="Tahoma"/>
            <family val="2"/>
          </rPr>
          <t>Control Options are;
Left
Right
When Bracket Type is Link Together, 
Left or Right can only be selected once per Linked Set.</t>
        </r>
      </text>
    </comment>
    <comment ref="Q57" authorId="0" shapeId="0" xr:uid="{00000000-0006-0000-0400-000094020000}">
      <text>
        <r>
          <rPr>
            <sz val="8"/>
            <color indexed="81"/>
            <rFont val="Tahoma"/>
            <family val="2"/>
          </rPr>
          <t>Chain Length options are; 
Default
500mm
750mm
1000mm
1250mm
1500mm
2000mm</t>
        </r>
      </text>
    </comment>
    <comment ref="R57" authorId="0" shapeId="0" xr:uid="{00000000-0006-0000-0400-000095020000}">
      <text>
        <r>
          <rPr>
            <sz val="8"/>
            <color indexed="81"/>
            <rFont val="Tahoma"/>
            <family val="2"/>
          </rPr>
          <t>Chain Colour options are; 
White
White Birch
Black
Nickel Plated Brass
Stainless Steel</t>
        </r>
      </text>
    </comment>
    <comment ref="S57" authorId="0" shapeId="0" xr:uid="{00000000-0006-0000-0400-000096020000}">
      <text>
        <r>
          <rPr>
            <sz val="8"/>
            <color indexed="81"/>
            <rFont val="Tahoma"/>
            <family val="2"/>
          </rPr>
          <t>When
 Standard or Common 
is selected the 
Pelmet Colour 
must be entered.</t>
        </r>
      </text>
    </comment>
    <comment ref="W57" authorId="0" shapeId="0" xr:uid="{00000000-0006-0000-0400-000097020000}">
      <text>
        <r>
          <rPr>
            <sz val="8"/>
            <color indexed="81"/>
            <rFont val="Tahoma"/>
            <family val="2"/>
          </rPr>
          <t>Bracket Options include:
All other options;
Standard
Double
Link
Double Link</t>
        </r>
      </text>
    </comment>
    <comment ref="X57" authorId="0" shapeId="0" xr:uid="{00000000-0006-0000-0400-000098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E7" authorId="0" shapeId="0" xr:uid="{00000000-0006-0000-0500-000001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H7" authorId="0" shapeId="0" xr:uid="{00000000-0006-0000-0500-000002000000}">
      <text>
        <r>
          <rPr>
            <sz val="8"/>
            <color indexed="81"/>
            <rFont val="Tahoma"/>
            <family val="2"/>
          </rPr>
          <t>When selecting a
Corner or Bay Window Type, 
the CMB Corner WS or CMB Bay WS 
must be completed.</t>
        </r>
      </text>
    </comment>
    <comment ref="J7" authorId="0" shapeId="0" xr:uid="{00000000-0006-0000-0500-000003000000}">
      <text>
        <r>
          <rPr>
            <sz val="8"/>
            <color indexed="81"/>
            <rFont val="Tahoma"/>
            <family val="2"/>
          </rPr>
          <t>ACT 
Actual Measurements
You have made the allowances.
NAM
No Allowances Made 
The factory will make the deductions.</t>
        </r>
      </text>
    </comment>
    <comment ref="T7" authorId="0" shapeId="0" xr:uid="{00000000-0006-0000-0500-000004000000}">
      <text>
        <r>
          <rPr>
            <sz val="8"/>
            <color indexed="81"/>
            <rFont val="Tahoma"/>
            <family val="2"/>
          </rPr>
          <t>The Quantity is 
automatically calculated.</t>
        </r>
      </text>
    </comment>
    <comment ref="E8" authorId="0" shapeId="0" xr:uid="{00000000-0006-0000-0500-000005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8" authorId="0" shapeId="0" xr:uid="{00000000-0006-0000-0500-000006000000}">
      <text>
        <r>
          <rPr>
            <sz val="8"/>
            <color indexed="81"/>
            <rFont val="Tahoma"/>
            <family val="2"/>
          </rPr>
          <t xml:space="preserve">Minimum Width is 500mm.
Maximum Width is 4800mm. </t>
        </r>
      </text>
    </comment>
    <comment ref="G8" authorId="0" shapeId="0" xr:uid="{00000000-0006-0000-0500-000007000000}">
      <text>
        <r>
          <rPr>
            <sz val="8"/>
            <color indexed="81"/>
            <rFont val="Tahoma"/>
            <family val="2"/>
          </rPr>
          <t xml:space="preserve">Minimum Height/Drop is 200mm.
Maximum Height/Drop is 3600mm. </t>
        </r>
      </text>
    </comment>
    <comment ref="H8" authorId="0" shapeId="0" xr:uid="{00000000-0006-0000-0500-000008000000}">
      <text>
        <r>
          <rPr>
            <sz val="8"/>
            <color indexed="81"/>
            <rFont val="Tahoma"/>
            <family val="2"/>
          </rPr>
          <t>When selecting a
Corner or Bay Window Type, 
the CMB Corner WS or CMB Bay WS 
must be completed.</t>
        </r>
      </text>
    </comment>
    <comment ref="J8" authorId="0" shapeId="0" xr:uid="{00000000-0006-0000-0500-000009000000}">
      <text>
        <r>
          <rPr>
            <sz val="8"/>
            <color indexed="81"/>
            <rFont val="Tahoma"/>
            <family val="2"/>
          </rPr>
          <t>ACT 
Actual Measurements
You have made the allowances.
NAM
No Allowances Made 
The factory will make the deductions.</t>
        </r>
      </text>
    </comment>
    <comment ref="O8" authorId="0" shapeId="0" xr:uid="{00000000-0006-0000-0500-00000A000000}">
      <text>
        <r>
          <rPr>
            <sz val="8"/>
            <color indexed="81"/>
            <rFont val="Tahoma"/>
            <family val="2"/>
          </rPr>
          <t>When Yes is selected the Pelmet Colour must be entered.</t>
        </r>
      </text>
    </comment>
    <comment ref="E9" authorId="0" shapeId="0" xr:uid="{00000000-0006-0000-0500-00000B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9" authorId="0" shapeId="0" xr:uid="{00000000-0006-0000-0500-00000C000000}">
      <text>
        <r>
          <rPr>
            <sz val="8"/>
            <color indexed="81"/>
            <rFont val="Tahoma"/>
            <family val="2"/>
          </rPr>
          <t xml:space="preserve">Minimum Width is 500mm.
Maximum Width is 4800mm. </t>
        </r>
      </text>
    </comment>
    <comment ref="G9" authorId="0" shapeId="0" xr:uid="{00000000-0006-0000-0500-00000D000000}">
      <text>
        <r>
          <rPr>
            <sz val="8"/>
            <color indexed="81"/>
            <rFont val="Tahoma"/>
            <family val="2"/>
          </rPr>
          <t xml:space="preserve">Minimum Height/Drop is 200mm.
Maximum Height/Drop is 3600mm. </t>
        </r>
      </text>
    </comment>
    <comment ref="H9" authorId="0" shapeId="0" xr:uid="{00000000-0006-0000-0500-00000E000000}">
      <text>
        <r>
          <rPr>
            <sz val="8"/>
            <color indexed="81"/>
            <rFont val="Tahoma"/>
            <family val="2"/>
          </rPr>
          <t>When selecting a
Corner or Bay Window Type, 
the CMB Corner WS or CMB Bay WS 
must be completed.</t>
        </r>
      </text>
    </comment>
    <comment ref="J9" authorId="0" shapeId="0" xr:uid="{00000000-0006-0000-0500-00000F000000}">
      <text>
        <r>
          <rPr>
            <sz val="8"/>
            <color indexed="81"/>
            <rFont val="Tahoma"/>
            <family val="2"/>
          </rPr>
          <t>ACT 
Actual Measurements
You have made the allowances.
NAM
No Allowances Made 
The factory will make the deductions.</t>
        </r>
      </text>
    </comment>
    <comment ref="O9" authorId="0" shapeId="0" xr:uid="{00000000-0006-0000-0500-000010000000}">
      <text>
        <r>
          <rPr>
            <sz val="8"/>
            <color indexed="81"/>
            <rFont val="Tahoma"/>
            <family val="2"/>
          </rPr>
          <t>When Yes is selected the Pelmet Colour must be entered.</t>
        </r>
      </text>
    </comment>
    <comment ref="E10" authorId="0" shapeId="0" xr:uid="{00000000-0006-0000-0500-000011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0" authorId="0" shapeId="0" xr:uid="{00000000-0006-0000-0500-000012000000}">
      <text>
        <r>
          <rPr>
            <sz val="8"/>
            <color indexed="81"/>
            <rFont val="Tahoma"/>
            <family val="2"/>
          </rPr>
          <t xml:space="preserve">Minimum Width is 500mm.
Maximum Width is 4800mm. </t>
        </r>
      </text>
    </comment>
    <comment ref="G10" authorId="0" shapeId="0" xr:uid="{00000000-0006-0000-0500-000013000000}">
      <text>
        <r>
          <rPr>
            <sz val="8"/>
            <color indexed="81"/>
            <rFont val="Tahoma"/>
            <family val="2"/>
          </rPr>
          <t xml:space="preserve">Minimum Height/Drop is 200mm.
Maximum Height/Drop is 3600mm. </t>
        </r>
      </text>
    </comment>
    <comment ref="H10" authorId="0" shapeId="0" xr:uid="{00000000-0006-0000-0500-000014000000}">
      <text>
        <r>
          <rPr>
            <sz val="8"/>
            <color indexed="81"/>
            <rFont val="Tahoma"/>
            <family val="2"/>
          </rPr>
          <t>When selecting a
Corner or Bay Window Type, 
the CMB Corner WS or CMB Bay WS 
must be completed.</t>
        </r>
      </text>
    </comment>
    <comment ref="J10" authorId="0" shapeId="0" xr:uid="{00000000-0006-0000-0500-000015000000}">
      <text>
        <r>
          <rPr>
            <sz val="8"/>
            <color indexed="81"/>
            <rFont val="Tahoma"/>
            <family val="2"/>
          </rPr>
          <t>ACT 
Actual Measurements
You have made the allowances.
NAM
No Allowances Made 
The factory will make the deductions.</t>
        </r>
      </text>
    </comment>
    <comment ref="O10" authorId="0" shapeId="0" xr:uid="{00000000-0006-0000-0500-000016000000}">
      <text>
        <r>
          <rPr>
            <sz val="8"/>
            <color indexed="81"/>
            <rFont val="Tahoma"/>
            <family val="2"/>
          </rPr>
          <t>When Yes is selected the Pelmet Colour must be entered.</t>
        </r>
      </text>
    </comment>
    <comment ref="E11" authorId="0" shapeId="0" xr:uid="{00000000-0006-0000-0500-000017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1" authorId="0" shapeId="0" xr:uid="{00000000-0006-0000-0500-000018000000}">
      <text>
        <r>
          <rPr>
            <sz val="8"/>
            <color indexed="81"/>
            <rFont val="Tahoma"/>
            <family val="2"/>
          </rPr>
          <t xml:space="preserve">Minimum Width is 500mm.
Maximum Width is 4800mm. </t>
        </r>
      </text>
    </comment>
    <comment ref="G11" authorId="0" shapeId="0" xr:uid="{00000000-0006-0000-0500-000019000000}">
      <text>
        <r>
          <rPr>
            <sz val="8"/>
            <color indexed="81"/>
            <rFont val="Tahoma"/>
            <family val="2"/>
          </rPr>
          <t xml:space="preserve">Minimum Height/Drop is 200mm.
Maximum Height/Drop is 3600mm. </t>
        </r>
      </text>
    </comment>
    <comment ref="H11" authorId="0" shapeId="0" xr:uid="{00000000-0006-0000-0500-00001A000000}">
      <text>
        <r>
          <rPr>
            <sz val="8"/>
            <color indexed="81"/>
            <rFont val="Tahoma"/>
            <family val="2"/>
          </rPr>
          <t>When selecting a
Corner or Bay Window Type, 
the CMB Corner WS or CMB Bay WS 
must be completed.</t>
        </r>
      </text>
    </comment>
    <comment ref="J11" authorId="0" shapeId="0" xr:uid="{00000000-0006-0000-0500-00001B000000}">
      <text>
        <r>
          <rPr>
            <sz val="8"/>
            <color indexed="81"/>
            <rFont val="Tahoma"/>
            <family val="2"/>
          </rPr>
          <t>ACT 
Actual Measurements
You have made the allowances.
NAM
No Allowances Made 
The factory will make the deductions.</t>
        </r>
      </text>
    </comment>
    <comment ref="O11" authorId="0" shapeId="0" xr:uid="{00000000-0006-0000-0500-00001C000000}">
      <text>
        <r>
          <rPr>
            <sz val="8"/>
            <color indexed="81"/>
            <rFont val="Tahoma"/>
            <family val="2"/>
          </rPr>
          <t>When Yes is selected the Pelmet Colour must be entered.</t>
        </r>
      </text>
    </comment>
    <comment ref="E12" authorId="0" shapeId="0" xr:uid="{00000000-0006-0000-0500-00001D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2" authorId="0" shapeId="0" xr:uid="{00000000-0006-0000-0500-00001E000000}">
      <text>
        <r>
          <rPr>
            <sz val="8"/>
            <color indexed="81"/>
            <rFont val="Tahoma"/>
            <family val="2"/>
          </rPr>
          <t xml:space="preserve">Minimum Width is 500mm.
Maximum Width is 4800mm. </t>
        </r>
      </text>
    </comment>
    <comment ref="G12" authorId="0" shapeId="0" xr:uid="{00000000-0006-0000-0500-00001F000000}">
      <text>
        <r>
          <rPr>
            <sz val="8"/>
            <color indexed="81"/>
            <rFont val="Tahoma"/>
            <family val="2"/>
          </rPr>
          <t xml:space="preserve">Minimum Height/Drop is 200mm.
Maximum Height/Drop is 3600mm. </t>
        </r>
      </text>
    </comment>
    <comment ref="H12" authorId="0" shapeId="0" xr:uid="{00000000-0006-0000-0500-000020000000}">
      <text>
        <r>
          <rPr>
            <sz val="8"/>
            <color indexed="81"/>
            <rFont val="Tahoma"/>
            <family val="2"/>
          </rPr>
          <t>When selecting a
Corner or Bay Window Type, 
the CMB Corner WS or CMB Bay WS 
must be completed.</t>
        </r>
      </text>
    </comment>
    <comment ref="J12" authorId="0" shapeId="0" xr:uid="{00000000-0006-0000-0500-000021000000}">
      <text>
        <r>
          <rPr>
            <sz val="8"/>
            <color indexed="81"/>
            <rFont val="Tahoma"/>
            <family val="2"/>
          </rPr>
          <t>ACT 
Actual Measurements
You have made the allowances.
NAM
No Allowances Made 
The factory will make the deductions.</t>
        </r>
      </text>
    </comment>
    <comment ref="O12" authorId="0" shapeId="0" xr:uid="{00000000-0006-0000-0500-000022000000}">
      <text>
        <r>
          <rPr>
            <sz val="8"/>
            <color indexed="81"/>
            <rFont val="Tahoma"/>
            <family val="2"/>
          </rPr>
          <t>When Yes is selected the Pelmet Colour must be entered.</t>
        </r>
      </text>
    </comment>
    <comment ref="E13" authorId="0" shapeId="0" xr:uid="{00000000-0006-0000-0500-000023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3" authorId="0" shapeId="0" xr:uid="{00000000-0006-0000-0500-000024000000}">
      <text>
        <r>
          <rPr>
            <sz val="8"/>
            <color indexed="81"/>
            <rFont val="Tahoma"/>
            <family val="2"/>
          </rPr>
          <t xml:space="preserve">Minimum Width is 500mm.
Maximum Width is 4800mm. </t>
        </r>
      </text>
    </comment>
    <comment ref="G13" authorId="0" shapeId="0" xr:uid="{00000000-0006-0000-0500-000025000000}">
      <text>
        <r>
          <rPr>
            <sz val="8"/>
            <color indexed="81"/>
            <rFont val="Tahoma"/>
            <family val="2"/>
          </rPr>
          <t xml:space="preserve">Minimum Height/Drop is 200mm.
Maximum Height/Drop is 3600mm. </t>
        </r>
      </text>
    </comment>
    <comment ref="H13" authorId="0" shapeId="0" xr:uid="{00000000-0006-0000-0500-000026000000}">
      <text>
        <r>
          <rPr>
            <sz val="8"/>
            <color indexed="81"/>
            <rFont val="Tahoma"/>
            <family val="2"/>
          </rPr>
          <t>When selecting a
Corner or Bay Window Type, 
the CMB Corner WS or CMB Bay WS 
must be completed.</t>
        </r>
      </text>
    </comment>
    <comment ref="J13" authorId="0" shapeId="0" xr:uid="{00000000-0006-0000-0500-000027000000}">
      <text>
        <r>
          <rPr>
            <sz val="8"/>
            <color indexed="81"/>
            <rFont val="Tahoma"/>
            <family val="2"/>
          </rPr>
          <t>ACT 
Actual Measurements
You have made the allowances.
NAM
No Allowances Made 
The factory will make the deductions.</t>
        </r>
      </text>
    </comment>
    <comment ref="O13" authorId="0" shapeId="0" xr:uid="{00000000-0006-0000-0500-000028000000}">
      <text>
        <r>
          <rPr>
            <sz val="8"/>
            <color indexed="81"/>
            <rFont val="Tahoma"/>
            <family val="2"/>
          </rPr>
          <t>When Yes is selected the Pelmet Colour must be entered.</t>
        </r>
      </text>
    </comment>
    <comment ref="E14" authorId="0" shapeId="0" xr:uid="{00000000-0006-0000-0500-000029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4" authorId="0" shapeId="0" xr:uid="{00000000-0006-0000-0500-00002A000000}">
      <text>
        <r>
          <rPr>
            <sz val="8"/>
            <color indexed="81"/>
            <rFont val="Tahoma"/>
            <family val="2"/>
          </rPr>
          <t xml:space="preserve">Minimum Width is 500mm.
Maximum Width is 4800mm. </t>
        </r>
      </text>
    </comment>
    <comment ref="G14" authorId="0" shapeId="0" xr:uid="{00000000-0006-0000-0500-00002B000000}">
      <text>
        <r>
          <rPr>
            <sz val="8"/>
            <color indexed="81"/>
            <rFont val="Tahoma"/>
            <family val="2"/>
          </rPr>
          <t xml:space="preserve">Minimum Height/Drop is 200mm.
Maximum Height/Drop is 3600mm. </t>
        </r>
      </text>
    </comment>
    <comment ref="H14" authorId="0" shapeId="0" xr:uid="{00000000-0006-0000-0500-00002C000000}">
      <text>
        <r>
          <rPr>
            <sz val="8"/>
            <color indexed="81"/>
            <rFont val="Tahoma"/>
            <family val="2"/>
          </rPr>
          <t>When selecting a
Corner or Bay Window Type, 
the CMB Corner WS or CMB Bay WS 
must be completed.</t>
        </r>
      </text>
    </comment>
    <comment ref="J14" authorId="0" shapeId="0" xr:uid="{00000000-0006-0000-0500-00002D000000}">
      <text>
        <r>
          <rPr>
            <sz val="8"/>
            <color indexed="81"/>
            <rFont val="Tahoma"/>
            <family val="2"/>
          </rPr>
          <t>ACT 
Actual Measurements
You have made the allowances.
NAM
No Allowances Made 
The factory will make the deductions.</t>
        </r>
      </text>
    </comment>
    <comment ref="O14" authorId="0" shapeId="0" xr:uid="{00000000-0006-0000-0500-00002E000000}">
      <text>
        <r>
          <rPr>
            <sz val="8"/>
            <color indexed="81"/>
            <rFont val="Tahoma"/>
            <family val="2"/>
          </rPr>
          <t>When Yes is selected the Pelmet Colour must be entered.</t>
        </r>
      </text>
    </comment>
    <comment ref="E15" authorId="0" shapeId="0" xr:uid="{00000000-0006-0000-0500-00002F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5" authorId="0" shapeId="0" xr:uid="{00000000-0006-0000-0500-000030000000}">
      <text>
        <r>
          <rPr>
            <sz val="8"/>
            <color indexed="81"/>
            <rFont val="Tahoma"/>
            <family val="2"/>
          </rPr>
          <t xml:space="preserve">Minimum Width is 500mm.
Maximum Width is 4800mm. </t>
        </r>
      </text>
    </comment>
    <comment ref="G15" authorId="0" shapeId="0" xr:uid="{00000000-0006-0000-0500-000031000000}">
      <text>
        <r>
          <rPr>
            <sz val="8"/>
            <color indexed="81"/>
            <rFont val="Tahoma"/>
            <family val="2"/>
          </rPr>
          <t xml:space="preserve">Minimum Height/Drop is 200mm.
Maximum Height/Drop is 3600mm. </t>
        </r>
      </text>
    </comment>
    <comment ref="H15" authorId="0" shapeId="0" xr:uid="{00000000-0006-0000-0500-000032000000}">
      <text>
        <r>
          <rPr>
            <sz val="8"/>
            <color indexed="81"/>
            <rFont val="Tahoma"/>
            <family val="2"/>
          </rPr>
          <t>When selecting a
Corner or Bay Window Type, 
the CMB Corner WS or CMB Bay WS 
must be completed.</t>
        </r>
      </text>
    </comment>
    <comment ref="J15" authorId="0" shapeId="0" xr:uid="{00000000-0006-0000-0500-000033000000}">
      <text>
        <r>
          <rPr>
            <sz val="8"/>
            <color indexed="81"/>
            <rFont val="Tahoma"/>
            <family val="2"/>
          </rPr>
          <t>ACT 
Actual Measurements
You have made the allowances.
NAM
No Allowances Made 
The factory will make the deductions.</t>
        </r>
      </text>
    </comment>
    <comment ref="O15" authorId="0" shapeId="0" xr:uid="{00000000-0006-0000-0500-000034000000}">
      <text>
        <r>
          <rPr>
            <sz val="8"/>
            <color indexed="81"/>
            <rFont val="Tahoma"/>
            <family val="2"/>
          </rPr>
          <t>When Yes is selected the Pelmet Colour must be entered.</t>
        </r>
      </text>
    </comment>
    <comment ref="E16" authorId="0" shapeId="0" xr:uid="{00000000-0006-0000-0500-000035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6" authorId="0" shapeId="0" xr:uid="{00000000-0006-0000-0500-000036000000}">
      <text>
        <r>
          <rPr>
            <sz val="8"/>
            <color indexed="81"/>
            <rFont val="Tahoma"/>
            <family val="2"/>
          </rPr>
          <t xml:space="preserve">Minimum Width is 500mm.
Maximum Width is 4800mm. </t>
        </r>
      </text>
    </comment>
    <comment ref="G16" authorId="0" shapeId="0" xr:uid="{00000000-0006-0000-0500-000037000000}">
      <text>
        <r>
          <rPr>
            <sz val="8"/>
            <color indexed="81"/>
            <rFont val="Tahoma"/>
            <family val="2"/>
          </rPr>
          <t xml:space="preserve">Minimum Height/Drop is 200mm.
Maximum Height/Drop is 3600mm. </t>
        </r>
      </text>
    </comment>
    <comment ref="H16" authorId="0" shapeId="0" xr:uid="{00000000-0006-0000-0500-000038000000}">
      <text>
        <r>
          <rPr>
            <sz val="8"/>
            <color indexed="81"/>
            <rFont val="Tahoma"/>
            <family val="2"/>
          </rPr>
          <t>When selecting a
Corner or Bay Window Type, 
the CMB Corner WS or CMB Bay WS 
must be completed.</t>
        </r>
      </text>
    </comment>
    <comment ref="J16" authorId="0" shapeId="0" xr:uid="{00000000-0006-0000-0500-000039000000}">
      <text>
        <r>
          <rPr>
            <sz val="8"/>
            <color indexed="81"/>
            <rFont val="Tahoma"/>
            <family val="2"/>
          </rPr>
          <t>ACT 
Actual Measurements
You have made the allowances.
NAM
No Allowances Made 
The factory will make the deductions.</t>
        </r>
      </text>
    </comment>
    <comment ref="O16" authorId="0" shapeId="0" xr:uid="{00000000-0006-0000-0500-00003A000000}">
      <text>
        <r>
          <rPr>
            <sz val="8"/>
            <color indexed="81"/>
            <rFont val="Tahoma"/>
            <family val="2"/>
          </rPr>
          <t>When Yes is selected the Pelmet Colour must be entered.</t>
        </r>
      </text>
    </comment>
    <comment ref="E17" authorId="0" shapeId="0" xr:uid="{00000000-0006-0000-0500-00003B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7" authorId="0" shapeId="0" xr:uid="{00000000-0006-0000-0500-00003C000000}">
      <text>
        <r>
          <rPr>
            <sz val="8"/>
            <color indexed="81"/>
            <rFont val="Tahoma"/>
            <family val="2"/>
          </rPr>
          <t xml:space="preserve">Minimum Width is 500mm.
Maximum Width is 4800mm. </t>
        </r>
      </text>
    </comment>
    <comment ref="G17" authorId="0" shapeId="0" xr:uid="{00000000-0006-0000-0500-00003D000000}">
      <text>
        <r>
          <rPr>
            <sz val="8"/>
            <color indexed="81"/>
            <rFont val="Tahoma"/>
            <family val="2"/>
          </rPr>
          <t xml:space="preserve">Minimum Height/Drop is 200mm.
Maximum Height/Drop is 3600mm. </t>
        </r>
      </text>
    </comment>
    <comment ref="H17" authorId="0" shapeId="0" xr:uid="{00000000-0006-0000-0500-00003E000000}">
      <text>
        <r>
          <rPr>
            <sz val="8"/>
            <color indexed="81"/>
            <rFont val="Tahoma"/>
            <family val="2"/>
          </rPr>
          <t>When selecting a
Corner or Bay Window Type, 
the CMB Corner WS or CMB Bay WS 
must be completed.</t>
        </r>
      </text>
    </comment>
    <comment ref="J17" authorId="0" shapeId="0" xr:uid="{00000000-0006-0000-0500-00003F000000}">
      <text>
        <r>
          <rPr>
            <sz val="8"/>
            <color indexed="81"/>
            <rFont val="Tahoma"/>
            <family val="2"/>
          </rPr>
          <t>ACT 
Actual Measurements
You have made the allowances.
NAM
No Allowances Made 
The factory will make the deductions.</t>
        </r>
      </text>
    </comment>
    <comment ref="O17" authorId="0" shapeId="0" xr:uid="{00000000-0006-0000-0500-000040000000}">
      <text>
        <r>
          <rPr>
            <sz val="8"/>
            <color indexed="81"/>
            <rFont val="Tahoma"/>
            <family val="2"/>
          </rPr>
          <t>When Yes is selected the Pelmet Colour must be entered.</t>
        </r>
      </text>
    </comment>
    <comment ref="E18" authorId="0" shapeId="0" xr:uid="{00000000-0006-0000-0500-000041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8" authorId="0" shapeId="0" xr:uid="{00000000-0006-0000-0500-000042000000}">
      <text>
        <r>
          <rPr>
            <sz val="8"/>
            <color indexed="81"/>
            <rFont val="Tahoma"/>
            <family val="2"/>
          </rPr>
          <t xml:space="preserve">Minimum Width is 500mm.
Maximum Width is 4800mm. </t>
        </r>
      </text>
    </comment>
    <comment ref="G18" authorId="0" shapeId="0" xr:uid="{00000000-0006-0000-0500-000043000000}">
      <text>
        <r>
          <rPr>
            <sz val="8"/>
            <color indexed="81"/>
            <rFont val="Tahoma"/>
            <family val="2"/>
          </rPr>
          <t xml:space="preserve">Minimum Height/Drop is 200mm.
Maximum Height/Drop is 3600mm. </t>
        </r>
      </text>
    </comment>
    <comment ref="H18" authorId="0" shapeId="0" xr:uid="{00000000-0006-0000-0500-000044000000}">
      <text>
        <r>
          <rPr>
            <sz val="8"/>
            <color indexed="81"/>
            <rFont val="Tahoma"/>
            <family val="2"/>
          </rPr>
          <t>When selecting a
Corner or Bay Window Type, 
the CMB Corner WS or CMB Bay WS 
must be completed.</t>
        </r>
      </text>
    </comment>
    <comment ref="J18" authorId="0" shapeId="0" xr:uid="{00000000-0006-0000-0500-000045000000}">
      <text>
        <r>
          <rPr>
            <sz val="8"/>
            <color indexed="81"/>
            <rFont val="Tahoma"/>
            <family val="2"/>
          </rPr>
          <t>ACT 
Actual Measurements
You have made the allowances.
NAM
No Allowances Made 
The factory will make the deductions.</t>
        </r>
      </text>
    </comment>
    <comment ref="O18" authorId="0" shapeId="0" xr:uid="{00000000-0006-0000-0500-000046000000}">
      <text>
        <r>
          <rPr>
            <sz val="8"/>
            <color indexed="81"/>
            <rFont val="Tahoma"/>
            <family val="2"/>
          </rPr>
          <t>When Yes is selected the Pelmet Colour must be entered.</t>
        </r>
      </text>
    </comment>
    <comment ref="E19" authorId="0" shapeId="0" xr:uid="{00000000-0006-0000-0500-000047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9" authorId="0" shapeId="0" xr:uid="{00000000-0006-0000-0500-000048000000}">
      <text>
        <r>
          <rPr>
            <sz val="8"/>
            <color indexed="81"/>
            <rFont val="Tahoma"/>
            <family val="2"/>
          </rPr>
          <t xml:space="preserve">Minimum Width is 500mm.
Maximum Width is 4800mm. </t>
        </r>
      </text>
    </comment>
    <comment ref="G19" authorId="0" shapeId="0" xr:uid="{00000000-0006-0000-0500-000049000000}">
      <text>
        <r>
          <rPr>
            <sz val="8"/>
            <color indexed="81"/>
            <rFont val="Tahoma"/>
            <family val="2"/>
          </rPr>
          <t xml:space="preserve">Minimum Height/Drop is 200mm.
Maximum Height/Drop is 3600mm. </t>
        </r>
      </text>
    </comment>
    <comment ref="H19" authorId="0" shapeId="0" xr:uid="{00000000-0006-0000-0500-00004A000000}">
      <text>
        <r>
          <rPr>
            <sz val="8"/>
            <color indexed="81"/>
            <rFont val="Tahoma"/>
            <family val="2"/>
          </rPr>
          <t>When selecting a
Corner or Bay Window Type, 
the CMB Corner WS or CMB Bay WS 
must be completed.</t>
        </r>
      </text>
    </comment>
    <comment ref="J19" authorId="0" shapeId="0" xr:uid="{00000000-0006-0000-0500-00004B000000}">
      <text>
        <r>
          <rPr>
            <sz val="8"/>
            <color indexed="81"/>
            <rFont val="Tahoma"/>
            <family val="2"/>
          </rPr>
          <t>ACT 
Actual Measurements
You have made the allowances.
NAM
No Allowances Made 
The factory will make the deductions.</t>
        </r>
      </text>
    </comment>
    <comment ref="O19" authorId="0" shapeId="0" xr:uid="{00000000-0006-0000-0500-00004C000000}">
      <text>
        <r>
          <rPr>
            <sz val="8"/>
            <color indexed="81"/>
            <rFont val="Tahoma"/>
            <family val="2"/>
          </rPr>
          <t>When Yes is selected the Pelmet Colour must be entered.</t>
        </r>
      </text>
    </comment>
    <comment ref="E20" authorId="0" shapeId="0" xr:uid="{00000000-0006-0000-0500-00004D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0" authorId="0" shapeId="0" xr:uid="{00000000-0006-0000-0500-00004E000000}">
      <text>
        <r>
          <rPr>
            <sz val="8"/>
            <color indexed="81"/>
            <rFont val="Tahoma"/>
            <family val="2"/>
          </rPr>
          <t xml:space="preserve">Minimum Width is 500mm.
Maximum Width is 4800mm. </t>
        </r>
      </text>
    </comment>
    <comment ref="G20" authorId="0" shapeId="0" xr:uid="{00000000-0006-0000-0500-00004F000000}">
      <text>
        <r>
          <rPr>
            <sz val="8"/>
            <color indexed="81"/>
            <rFont val="Tahoma"/>
            <family val="2"/>
          </rPr>
          <t xml:space="preserve">Minimum Height/Drop is 200mm.
Maximum Height/Drop is 3600mm. </t>
        </r>
      </text>
    </comment>
    <comment ref="H20" authorId="0" shapeId="0" xr:uid="{00000000-0006-0000-0500-000050000000}">
      <text>
        <r>
          <rPr>
            <sz val="8"/>
            <color indexed="81"/>
            <rFont val="Tahoma"/>
            <family val="2"/>
          </rPr>
          <t>When selecting a
Corner or Bay Window Type, 
the CMB Corner WS or CMB Bay WS 
must be completed.</t>
        </r>
      </text>
    </comment>
    <comment ref="J20" authorId="0" shapeId="0" xr:uid="{00000000-0006-0000-0500-000051000000}">
      <text>
        <r>
          <rPr>
            <sz val="8"/>
            <color indexed="81"/>
            <rFont val="Tahoma"/>
            <family val="2"/>
          </rPr>
          <t>ACT 
Actual Measurements
You have made the allowances.
NAM
No Allowances Made 
The factory will make the deductions.</t>
        </r>
      </text>
    </comment>
    <comment ref="O20" authorId="0" shapeId="0" xr:uid="{00000000-0006-0000-0500-000052000000}">
      <text>
        <r>
          <rPr>
            <sz val="8"/>
            <color indexed="81"/>
            <rFont val="Tahoma"/>
            <family val="2"/>
          </rPr>
          <t>When Yes is selected the Pelmet Colour must be entered.</t>
        </r>
      </text>
    </comment>
    <comment ref="E21" authorId="0" shapeId="0" xr:uid="{00000000-0006-0000-0500-000053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1" authorId="0" shapeId="0" xr:uid="{00000000-0006-0000-0500-000054000000}">
      <text>
        <r>
          <rPr>
            <sz val="8"/>
            <color indexed="81"/>
            <rFont val="Tahoma"/>
            <family val="2"/>
          </rPr>
          <t xml:space="preserve">Minimum Width is 500mm.
Maximum Width is 4800mm. </t>
        </r>
      </text>
    </comment>
    <comment ref="G21" authorId="0" shapeId="0" xr:uid="{00000000-0006-0000-0500-000055000000}">
      <text>
        <r>
          <rPr>
            <sz val="8"/>
            <color indexed="81"/>
            <rFont val="Tahoma"/>
            <family val="2"/>
          </rPr>
          <t xml:space="preserve">Minimum Height/Drop is 200mm.
Maximum Height/Drop is 3600mm. </t>
        </r>
      </text>
    </comment>
    <comment ref="H21" authorId="0" shapeId="0" xr:uid="{00000000-0006-0000-0500-000056000000}">
      <text>
        <r>
          <rPr>
            <sz val="8"/>
            <color indexed="81"/>
            <rFont val="Tahoma"/>
            <family val="2"/>
          </rPr>
          <t>When selecting a
Corner or Bay Window Type, 
the CMB Corner WS or CMB Bay WS 
must be completed.</t>
        </r>
      </text>
    </comment>
    <comment ref="J21" authorId="0" shapeId="0" xr:uid="{00000000-0006-0000-0500-000057000000}">
      <text>
        <r>
          <rPr>
            <sz val="8"/>
            <color indexed="81"/>
            <rFont val="Tahoma"/>
            <family val="2"/>
          </rPr>
          <t>ACT 
Actual Measurements
You have made the allowances.
NAM
No Allowances Made 
The factory will make the deductions.</t>
        </r>
      </text>
    </comment>
    <comment ref="O21" authorId="0" shapeId="0" xr:uid="{00000000-0006-0000-0500-000058000000}">
      <text>
        <r>
          <rPr>
            <sz val="8"/>
            <color indexed="81"/>
            <rFont val="Tahoma"/>
            <family val="2"/>
          </rPr>
          <t>When Yes is selected the Pelmet Colour must be entered.</t>
        </r>
      </text>
    </comment>
    <comment ref="E22" authorId="0" shapeId="0" xr:uid="{00000000-0006-0000-0500-000059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2" authorId="0" shapeId="0" xr:uid="{00000000-0006-0000-0500-00005A000000}">
      <text>
        <r>
          <rPr>
            <sz val="8"/>
            <color indexed="81"/>
            <rFont val="Tahoma"/>
            <family val="2"/>
          </rPr>
          <t xml:space="preserve">Minimum Width is 500mm.
Maximum Width is 4800mm. </t>
        </r>
      </text>
    </comment>
    <comment ref="G22" authorId="0" shapeId="0" xr:uid="{00000000-0006-0000-0500-00005B000000}">
      <text>
        <r>
          <rPr>
            <sz val="8"/>
            <color indexed="81"/>
            <rFont val="Tahoma"/>
            <family val="2"/>
          </rPr>
          <t xml:space="preserve">Minimum Height/Drop is 200mm.
Maximum Height/Drop is 3600mm. </t>
        </r>
      </text>
    </comment>
    <comment ref="H22" authorId="0" shapeId="0" xr:uid="{00000000-0006-0000-0500-00005C000000}">
      <text>
        <r>
          <rPr>
            <sz val="8"/>
            <color indexed="81"/>
            <rFont val="Tahoma"/>
            <family val="2"/>
          </rPr>
          <t>When selecting a
Corner or Bay Window Type, 
the CMB Corner WS or CMB Bay WS 
must be completed.</t>
        </r>
      </text>
    </comment>
    <comment ref="J22" authorId="0" shapeId="0" xr:uid="{00000000-0006-0000-0500-00005D000000}">
      <text>
        <r>
          <rPr>
            <sz val="8"/>
            <color indexed="81"/>
            <rFont val="Tahoma"/>
            <family val="2"/>
          </rPr>
          <t>ACT 
Actual Measurements
You have made the allowances.
NAM
No Allowances Made 
The factory will make the deductions.</t>
        </r>
      </text>
    </comment>
    <comment ref="O22" authorId="0" shapeId="0" xr:uid="{00000000-0006-0000-0500-00005E000000}">
      <text>
        <r>
          <rPr>
            <sz val="8"/>
            <color indexed="81"/>
            <rFont val="Tahoma"/>
            <family val="2"/>
          </rPr>
          <t>When Yes is selected the Pelmet Colour must be entered.</t>
        </r>
      </text>
    </comment>
    <comment ref="E23" authorId="0" shapeId="0" xr:uid="{00000000-0006-0000-0500-00005F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3" authorId="0" shapeId="0" xr:uid="{00000000-0006-0000-0500-000060000000}">
      <text>
        <r>
          <rPr>
            <sz val="8"/>
            <color indexed="81"/>
            <rFont val="Tahoma"/>
            <family val="2"/>
          </rPr>
          <t xml:space="preserve">Minimum Width is 500mm.
Maximum Width is 4800mm. </t>
        </r>
      </text>
    </comment>
    <comment ref="G23" authorId="0" shapeId="0" xr:uid="{00000000-0006-0000-0500-000061000000}">
      <text>
        <r>
          <rPr>
            <sz val="8"/>
            <color indexed="81"/>
            <rFont val="Tahoma"/>
            <family val="2"/>
          </rPr>
          <t xml:space="preserve">Minimum Height/Drop is 200mm.
Maximum Height/Drop is 3600mm. </t>
        </r>
      </text>
    </comment>
    <comment ref="H23" authorId="0" shapeId="0" xr:uid="{00000000-0006-0000-0500-000062000000}">
      <text>
        <r>
          <rPr>
            <sz val="8"/>
            <color indexed="81"/>
            <rFont val="Tahoma"/>
            <family val="2"/>
          </rPr>
          <t>When selecting a
Corner or Bay Window Type, 
the CMB Corner WS or CMB Bay WS 
must be completed.</t>
        </r>
      </text>
    </comment>
    <comment ref="J23" authorId="0" shapeId="0" xr:uid="{00000000-0006-0000-0500-000063000000}">
      <text>
        <r>
          <rPr>
            <sz val="8"/>
            <color indexed="81"/>
            <rFont val="Tahoma"/>
            <family val="2"/>
          </rPr>
          <t>ACT 
Actual Measurements
You have made the allowances.
NAM
No Allowances Made 
The factory will make the deductions.</t>
        </r>
      </text>
    </comment>
    <comment ref="O23" authorId="0" shapeId="0" xr:uid="{00000000-0006-0000-0500-000064000000}">
      <text>
        <r>
          <rPr>
            <sz val="8"/>
            <color indexed="81"/>
            <rFont val="Tahoma"/>
            <family val="2"/>
          </rPr>
          <t>When Yes is selected the Pelmet Colour must be entered.</t>
        </r>
      </text>
    </comment>
    <comment ref="E24" authorId="0" shapeId="0" xr:uid="{00000000-0006-0000-0500-000065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4" authorId="0" shapeId="0" xr:uid="{00000000-0006-0000-0500-000066000000}">
      <text>
        <r>
          <rPr>
            <sz val="8"/>
            <color indexed="81"/>
            <rFont val="Tahoma"/>
            <family val="2"/>
          </rPr>
          <t xml:space="preserve">Minimum Width is 500mm.
Maximum Width is 4800mm. </t>
        </r>
      </text>
    </comment>
    <comment ref="G24" authorId="0" shapeId="0" xr:uid="{00000000-0006-0000-0500-000067000000}">
      <text>
        <r>
          <rPr>
            <sz val="8"/>
            <color indexed="81"/>
            <rFont val="Tahoma"/>
            <family val="2"/>
          </rPr>
          <t xml:space="preserve">Minimum Height/Drop is 200mm.
Maximum Height/Drop is 3600mm. </t>
        </r>
      </text>
    </comment>
    <comment ref="H24" authorId="0" shapeId="0" xr:uid="{00000000-0006-0000-0500-000068000000}">
      <text>
        <r>
          <rPr>
            <sz val="8"/>
            <color indexed="81"/>
            <rFont val="Tahoma"/>
            <family val="2"/>
          </rPr>
          <t>When selecting a
Corner or Bay Window Type, 
the CMB Corner WS or CMB Bay WS 
must be completed.</t>
        </r>
      </text>
    </comment>
    <comment ref="J24" authorId="0" shapeId="0" xr:uid="{00000000-0006-0000-0500-000069000000}">
      <text>
        <r>
          <rPr>
            <sz val="8"/>
            <color indexed="81"/>
            <rFont val="Tahoma"/>
            <family val="2"/>
          </rPr>
          <t>ACT 
Actual Measurements
You have made the allowances.
NAM
No Allowances Made 
The factory will make the deductions.</t>
        </r>
      </text>
    </comment>
    <comment ref="O24" authorId="0" shapeId="0" xr:uid="{00000000-0006-0000-0500-00006A000000}">
      <text>
        <r>
          <rPr>
            <sz val="8"/>
            <color indexed="81"/>
            <rFont val="Tahoma"/>
            <family val="2"/>
          </rPr>
          <t>When Yes is selected the Pelmet Colour must be entered.</t>
        </r>
      </text>
    </comment>
    <comment ref="E25" authorId="0" shapeId="0" xr:uid="{00000000-0006-0000-0500-00006B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5" authorId="0" shapeId="0" xr:uid="{00000000-0006-0000-0500-00006C000000}">
      <text>
        <r>
          <rPr>
            <sz val="8"/>
            <color indexed="81"/>
            <rFont val="Tahoma"/>
            <family val="2"/>
          </rPr>
          <t xml:space="preserve">Minimum Width is 500mm.
Maximum Width is 4800mm. </t>
        </r>
      </text>
    </comment>
    <comment ref="G25" authorId="0" shapeId="0" xr:uid="{00000000-0006-0000-0500-00006D000000}">
      <text>
        <r>
          <rPr>
            <sz val="8"/>
            <color indexed="81"/>
            <rFont val="Tahoma"/>
            <family val="2"/>
          </rPr>
          <t xml:space="preserve">Minimum Height/Drop is 200mm.
Maximum Height/Drop is 3600mm. </t>
        </r>
      </text>
    </comment>
    <comment ref="H25" authorId="0" shapeId="0" xr:uid="{00000000-0006-0000-0500-00006E000000}">
      <text>
        <r>
          <rPr>
            <sz val="8"/>
            <color indexed="81"/>
            <rFont val="Tahoma"/>
            <family val="2"/>
          </rPr>
          <t>When selecting a
Corner or Bay Window Type, 
the CMB Corner WS or CMB Bay WS 
must be completed.</t>
        </r>
      </text>
    </comment>
    <comment ref="J25" authorId="0" shapeId="0" xr:uid="{00000000-0006-0000-0500-00006F000000}">
      <text>
        <r>
          <rPr>
            <sz val="8"/>
            <color indexed="81"/>
            <rFont val="Tahoma"/>
            <family val="2"/>
          </rPr>
          <t>ACT 
Actual Measurements
You have made the allowances.
NAM
No Allowances Made 
The factory will make the deductions.</t>
        </r>
      </text>
    </comment>
    <comment ref="O25" authorId="0" shapeId="0" xr:uid="{00000000-0006-0000-0500-000070000000}">
      <text>
        <r>
          <rPr>
            <sz val="8"/>
            <color indexed="81"/>
            <rFont val="Tahoma"/>
            <family val="2"/>
          </rPr>
          <t>When Yes is selected the Pelmet Colour must be entered.</t>
        </r>
      </text>
    </comment>
    <comment ref="E26" authorId="0" shapeId="0" xr:uid="{00000000-0006-0000-0500-000071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6" authorId="0" shapeId="0" xr:uid="{00000000-0006-0000-0500-000072000000}">
      <text>
        <r>
          <rPr>
            <sz val="8"/>
            <color indexed="81"/>
            <rFont val="Tahoma"/>
            <family val="2"/>
          </rPr>
          <t xml:space="preserve">Minimum Width is 500mm.
Maximum Width is 4800mm. </t>
        </r>
      </text>
    </comment>
    <comment ref="G26" authorId="0" shapeId="0" xr:uid="{00000000-0006-0000-0500-000073000000}">
      <text>
        <r>
          <rPr>
            <sz val="8"/>
            <color indexed="81"/>
            <rFont val="Tahoma"/>
            <family val="2"/>
          </rPr>
          <t xml:space="preserve">Minimum Height/Drop is 200mm.
Maximum Height/Drop is 3600mm. </t>
        </r>
      </text>
    </comment>
    <comment ref="H26" authorId="0" shapeId="0" xr:uid="{00000000-0006-0000-0500-000074000000}">
      <text>
        <r>
          <rPr>
            <sz val="8"/>
            <color indexed="81"/>
            <rFont val="Tahoma"/>
            <family val="2"/>
          </rPr>
          <t>When selecting a
Corner or Bay Window Type, 
the CMB Corner WS or CMB Bay WS 
must be completed.</t>
        </r>
      </text>
    </comment>
    <comment ref="J26" authorId="0" shapeId="0" xr:uid="{00000000-0006-0000-0500-000075000000}">
      <text>
        <r>
          <rPr>
            <sz val="8"/>
            <color indexed="81"/>
            <rFont val="Tahoma"/>
            <family val="2"/>
          </rPr>
          <t>ACT 
Actual Measurements
You have made the allowances.
NAM
No Allowances Made 
The factory will make the deductions.</t>
        </r>
      </text>
    </comment>
    <comment ref="O26" authorId="0" shapeId="0" xr:uid="{00000000-0006-0000-0500-000076000000}">
      <text>
        <r>
          <rPr>
            <sz val="8"/>
            <color indexed="81"/>
            <rFont val="Tahoma"/>
            <family val="2"/>
          </rPr>
          <t>When Yes is selected the Pelmet Colour must be entered.</t>
        </r>
      </text>
    </comment>
    <comment ref="E27" authorId="0" shapeId="0" xr:uid="{00000000-0006-0000-0500-000077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7" authorId="0" shapeId="0" xr:uid="{00000000-0006-0000-0500-000078000000}">
      <text>
        <r>
          <rPr>
            <sz val="8"/>
            <color indexed="81"/>
            <rFont val="Tahoma"/>
            <family val="2"/>
          </rPr>
          <t xml:space="preserve">Minimum Width is 500mm.
Maximum Width is 4800mm. </t>
        </r>
      </text>
    </comment>
    <comment ref="G27" authorId="0" shapeId="0" xr:uid="{00000000-0006-0000-0500-000079000000}">
      <text>
        <r>
          <rPr>
            <sz val="8"/>
            <color indexed="81"/>
            <rFont val="Tahoma"/>
            <family val="2"/>
          </rPr>
          <t xml:space="preserve">Minimum Height/Drop is 200mm.
Maximum Height/Drop is 3600mm. </t>
        </r>
      </text>
    </comment>
    <comment ref="H27" authorId="0" shapeId="0" xr:uid="{00000000-0006-0000-0500-00007A000000}">
      <text>
        <r>
          <rPr>
            <sz val="8"/>
            <color indexed="81"/>
            <rFont val="Tahoma"/>
            <family val="2"/>
          </rPr>
          <t>When selecting a
Corner or Bay Window Type, 
the CMB Corner WS or CMB Bay WS 
must be completed.</t>
        </r>
      </text>
    </comment>
    <comment ref="J27" authorId="0" shapeId="0" xr:uid="{00000000-0006-0000-0500-00007B000000}">
      <text>
        <r>
          <rPr>
            <sz val="8"/>
            <color indexed="81"/>
            <rFont val="Tahoma"/>
            <family val="2"/>
          </rPr>
          <t>ACT 
Actual Measurements
You have made the allowances.
NAM
No Allowances Made 
The factory will make the deductions.</t>
        </r>
      </text>
    </comment>
    <comment ref="O27" authorId="0" shapeId="0" xr:uid="{00000000-0006-0000-0500-00007C000000}">
      <text>
        <r>
          <rPr>
            <sz val="8"/>
            <color indexed="81"/>
            <rFont val="Tahoma"/>
            <family val="2"/>
          </rPr>
          <t>When Yes is selected the Pelmet Colour must be entered.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Tony Sinke</author>
    <author>PWD</author>
  </authors>
  <commentList>
    <comment ref="D7" authorId="0" shapeId="0" xr:uid="{04CE3564-075A-4D47-9D51-E4453B40EC95}">
      <text>
        <r>
          <rPr>
            <sz val="8"/>
            <color indexed="81"/>
            <rFont val="Tahoma"/>
            <family val="2"/>
          </rPr>
          <t>The Product options are;
50mm PS Blind
50mm PS Privacy Blind
63mm PS Blind
63mm PS Privacy Blind
50mm Timber Blind</t>
        </r>
      </text>
    </comment>
    <comment ref="E7" authorId="1" shapeId="0" xr:uid="{F3F1B292-BE6A-4D92-B42A-339D86E3C8F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7" authorId="1" shapeId="0" xr:uid="{00000000-0006-0000-0300-000001000000}">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7" authorId="1" shapeId="0" xr:uid="{00000000-0006-0000-0300-000002000000}">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7" authorId="1" shapeId="0" xr:uid="{00000000-0006-0000-0300-000003000000}">
      <text>
        <r>
          <rPr>
            <sz val="8"/>
            <color indexed="81"/>
            <rFont val="Tahoma"/>
            <family val="2"/>
          </rPr>
          <t>When selecting a
Corner or Bay 
Window Type, 
the CMB Corner WS 
or the 
CMB Bay WS 
must be completed please.</t>
        </r>
      </text>
    </comment>
    <comment ref="J7" authorId="1" shapeId="0" xr:uid="{00000000-0006-0000-0300-000004000000}">
      <text>
        <r>
          <rPr>
            <sz val="8"/>
            <color indexed="81"/>
            <rFont val="Tahoma"/>
            <family val="2"/>
          </rPr>
          <t>ACT 
Actual Measurements
You have made the allowances.
NAM
No Allowances Made 
The factory will make the deductions.</t>
        </r>
      </text>
    </comment>
    <comment ref="L7" authorId="1" shapeId="0" xr:uid="{9F002E6C-4A2D-4622-8217-D996A0896095}">
      <text>
        <r>
          <rPr>
            <sz val="8"/>
            <color indexed="81"/>
            <rFont val="Tahoma"/>
            <family val="2"/>
          </rPr>
          <t>The Cord Lock options are;
50mm PS Privacy Blind, 
63mm PS Blind &amp; 
63mm PS Privacy Blind;
Left
Right
50mm PS Blind &amp; 
50mm Timber Blind;
Left
Right
Cordless</t>
        </r>
      </text>
    </comment>
    <comment ref="M7" authorId="1" shapeId="0" xr:uid="{025D0DB5-54A8-462B-9023-6AC636D8610B}">
      <text>
        <r>
          <rPr>
            <sz val="8"/>
            <color indexed="81"/>
            <rFont val="Tahoma"/>
            <family val="2"/>
          </rPr>
          <t>The Tilt options are;
For Cord Lock Left &amp; Right;
Left
Right
For Cordless;
Cordless Hook Wand Left
Cordless Hook Wand Right</t>
        </r>
      </text>
    </comment>
    <comment ref="O7" authorId="1" shapeId="0" xr:uid="{00000000-0006-0000-0300-000005000000}">
      <text>
        <r>
          <rPr>
            <sz val="8"/>
            <color indexed="81"/>
            <rFont val="Tahoma"/>
            <family val="2"/>
          </rPr>
          <t>Standard is default.
Common Fascia is when the same Fascia 
is used for two Blinds.</t>
        </r>
      </text>
    </comment>
    <comment ref="Q7" authorId="1" shapeId="0" xr:uid="{00000000-0006-0000-0300-000006000000}">
      <text>
        <r>
          <rPr>
            <sz val="8"/>
            <color indexed="81"/>
            <rFont val="Tahoma"/>
            <family val="2"/>
          </rPr>
          <t>When left blank, 
no Cut Out applies.</t>
        </r>
      </text>
    </comment>
    <comment ref="S7" authorId="1" shapeId="0" xr:uid="{00000000-0006-0000-0300-000007000000}">
      <text>
        <r>
          <rPr>
            <sz val="8"/>
            <color indexed="81"/>
            <rFont val="Tahoma"/>
            <family val="2"/>
          </rPr>
          <t>Blind Width          Maximum Cut Out Width
For 50mm/63mm PS/PS Privacy
222 - 254mm       50mm
255 - 379mm       75mm
 &gt; 380mm             130mm</t>
        </r>
      </text>
    </comment>
    <comment ref="U7" authorId="1" shapeId="0" xr:uid="{00000000-0006-0000-0300-000008000000}">
      <text>
        <r>
          <rPr>
            <sz val="8"/>
            <color indexed="81"/>
            <rFont val="Tahoma"/>
            <family val="2"/>
          </rPr>
          <t xml:space="preserve">Blind Width          Maximum Cut Out Width
For 50mm/63mm PS/PS Privacy
222 - 254mm       50mm
255 - 379mm       75mm
 &gt; 380mm             130mm
</t>
        </r>
      </text>
    </comment>
    <comment ref="D8" authorId="0" shapeId="0" xr:uid="{37A4FC2A-D4F9-48A6-86B1-C886C9412981}">
      <text>
        <r>
          <rPr>
            <sz val="8"/>
            <color indexed="81"/>
            <rFont val="Tahoma"/>
            <family val="2"/>
          </rPr>
          <t>The Product options are;
50mm PS Blind
50mm PS Privacy Blind
63mm PS Blind
63mm PS Privacy Blind
50mm Timber Blind</t>
        </r>
      </text>
    </comment>
    <comment ref="E8" authorId="1" shapeId="0" xr:uid="{5F7A6B5E-13C7-4DB0-8EA9-42BFD1B5BC4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8" authorId="1" shapeId="0" xr:uid="{BEE1B71D-2224-48EA-84E1-9DD9C13A674D}">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8" authorId="1" shapeId="0" xr:uid="{6791E06B-637F-4180-8C6A-E28BB599583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8" authorId="1" shapeId="0" xr:uid="{91AF0385-05B9-4A90-BDA1-48D929FCE60B}">
      <text>
        <r>
          <rPr>
            <sz val="8"/>
            <color indexed="81"/>
            <rFont val="Tahoma"/>
            <family val="2"/>
          </rPr>
          <t>When selecting a
Corner or Bay 
Window Type, 
the CMB Corner WS 
or the 
CMB Bay WS 
must be completed please.</t>
        </r>
      </text>
    </comment>
    <comment ref="J8" authorId="1" shapeId="0" xr:uid="{71AEEB77-4AFC-49B2-AC82-CA5A863DB8E4}">
      <text>
        <r>
          <rPr>
            <sz val="8"/>
            <color indexed="81"/>
            <rFont val="Tahoma"/>
            <family val="2"/>
          </rPr>
          <t>ACT 
Actual Measurements
You have made the allowances.
NAM
No Allowances Made 
The factory will make the deductions.</t>
        </r>
      </text>
    </comment>
    <comment ref="L8" authorId="1" shapeId="0" xr:uid="{38948293-E450-42BD-B718-B3AAE52F464F}">
      <text>
        <r>
          <rPr>
            <sz val="8"/>
            <color indexed="81"/>
            <rFont val="Tahoma"/>
            <family val="2"/>
          </rPr>
          <t>The Cord Lock options are;
50mm PS Privacy Blind, 
63mm PS Blind &amp; 
63mm PS Privacy Blind;
Left
Right
50mm PS Blind &amp; 
50mm Timber Blind;
Left
Right
Cordless</t>
        </r>
      </text>
    </comment>
    <comment ref="M8" authorId="1" shapeId="0" xr:uid="{7FBA83C1-E24F-4671-8350-A5A3CF126828}">
      <text>
        <r>
          <rPr>
            <sz val="8"/>
            <color indexed="81"/>
            <rFont val="Tahoma"/>
            <family val="2"/>
          </rPr>
          <t>The Tilt options are;
For Cord Lock Left &amp; Right;
Left
Right
For Cordless;
Cordless Hook Wand Left
Cordless Hook Wand Right</t>
        </r>
      </text>
    </comment>
    <comment ref="O8" authorId="1" shapeId="0" xr:uid="{95D4B7CB-A17B-46E9-829D-D56CE0CC1D5A}">
      <text>
        <r>
          <rPr>
            <sz val="8"/>
            <color indexed="81"/>
            <rFont val="Tahoma"/>
            <family val="2"/>
          </rPr>
          <t>Standard is default.
Common Fascia is when the same Fascia 
is used for two Blinds.</t>
        </r>
      </text>
    </comment>
    <comment ref="Q8" authorId="1" shapeId="0" xr:uid="{19F32D65-40D8-479D-A9DD-5229E3359CEB}">
      <text>
        <r>
          <rPr>
            <sz val="8"/>
            <color indexed="81"/>
            <rFont val="Tahoma"/>
            <family val="2"/>
          </rPr>
          <t>When left blank, 
no Cut Out applies.</t>
        </r>
      </text>
    </comment>
    <comment ref="S8" authorId="1" shapeId="0" xr:uid="{725EFE87-CFF4-434D-B44C-BEB824B9A9CE}">
      <text>
        <r>
          <rPr>
            <sz val="8"/>
            <color indexed="81"/>
            <rFont val="Tahoma"/>
            <family val="2"/>
          </rPr>
          <t>Blind Width          Maximum Cut Out Width
For 50mm/63mm PS/PS Privacy
222 - 254mm       50mm
255 - 379mm       75mm
 &gt; 380mm             130mm</t>
        </r>
      </text>
    </comment>
    <comment ref="U8" authorId="1" shapeId="0" xr:uid="{6799380A-7D4B-4F81-8DC8-0345D8BFBDBE}">
      <text>
        <r>
          <rPr>
            <sz val="8"/>
            <color indexed="81"/>
            <rFont val="Tahoma"/>
            <family val="2"/>
          </rPr>
          <t xml:space="preserve">Blind Width          Maximum Cut Out Width
For 50mm/63mm PS/PS Privacy
222 - 254mm       50mm
255 - 379mm       75mm
 &gt; 380mm             130mm
</t>
        </r>
      </text>
    </comment>
    <comment ref="D9" authorId="0" shapeId="0" xr:uid="{E623F249-AAA2-4E72-9BA7-3B29306A8ACC}">
      <text>
        <r>
          <rPr>
            <sz val="8"/>
            <color indexed="81"/>
            <rFont val="Tahoma"/>
            <family val="2"/>
          </rPr>
          <t>The Product options are;
50mm PS Blind
50mm PS Privacy Blind
63mm PS Blind
63mm PS Privacy Blind
50mm Timber Blind</t>
        </r>
      </text>
    </comment>
    <comment ref="E9" authorId="1" shapeId="0" xr:uid="{A428F04C-3153-43ED-9AD6-5B5DE125AF32}">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9" authorId="1" shapeId="0" xr:uid="{EC79C61A-FAE4-4E89-96CE-CDF428FA84D5}">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9" authorId="1" shapeId="0" xr:uid="{9CC13913-B676-42DA-B28E-CBFCB603F1A4}">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9" authorId="1" shapeId="0" xr:uid="{15302CD0-FDB9-4308-9312-F3B385012A99}">
      <text>
        <r>
          <rPr>
            <sz val="8"/>
            <color indexed="81"/>
            <rFont val="Tahoma"/>
            <family val="2"/>
          </rPr>
          <t>When selecting a
Corner or Bay 
Window Type, 
the CMB Corner WS 
or the 
CMB Bay WS 
must be completed please.</t>
        </r>
      </text>
    </comment>
    <comment ref="J9" authorId="1" shapeId="0" xr:uid="{B36846F6-F8D6-4146-A3D0-82B4BBBDDF6D}">
      <text>
        <r>
          <rPr>
            <sz val="8"/>
            <color indexed="81"/>
            <rFont val="Tahoma"/>
            <family val="2"/>
          </rPr>
          <t>ACT 
Actual Measurements
You have made the allowances.
NAM
No Allowances Made 
The factory will make the deductions.</t>
        </r>
      </text>
    </comment>
    <comment ref="L9" authorId="1" shapeId="0" xr:uid="{9D16AC1C-F5D7-41B0-8355-BDFDF09157F0}">
      <text>
        <r>
          <rPr>
            <sz val="8"/>
            <color indexed="81"/>
            <rFont val="Tahoma"/>
            <family val="2"/>
          </rPr>
          <t>The Cord Lock options are;
50mm PS Privacy Blind, 
63mm PS Blind &amp; 
63mm PS Privacy Blind;
Left
Right
50mm PS Blind &amp; 
50mm Timber Blind;
Left
Right
Cordless</t>
        </r>
      </text>
    </comment>
    <comment ref="M9" authorId="1" shapeId="0" xr:uid="{68112259-0626-4F31-A77D-354FA0E2A30D}">
      <text>
        <r>
          <rPr>
            <sz val="8"/>
            <color indexed="81"/>
            <rFont val="Tahoma"/>
            <family val="2"/>
          </rPr>
          <t>The Tilt options are;
For Cord Lock Left &amp; Right;
Left
Right
For Cordless;
Cordless Hook Wand Left
Cordless Hook Wand Right</t>
        </r>
      </text>
    </comment>
    <comment ref="O9" authorId="1" shapeId="0" xr:uid="{DA0F6E7F-DB23-418B-832A-2A825C70B536}">
      <text>
        <r>
          <rPr>
            <sz val="8"/>
            <color indexed="81"/>
            <rFont val="Tahoma"/>
            <family val="2"/>
          </rPr>
          <t>Standard is default.
Common Fascia is when the same Fascia 
is used for two Blinds.</t>
        </r>
      </text>
    </comment>
    <comment ref="Q9" authorId="1" shapeId="0" xr:uid="{8E93ADA9-7B51-4CA6-A031-CF37BD84FDBA}">
      <text>
        <r>
          <rPr>
            <sz val="8"/>
            <color indexed="81"/>
            <rFont val="Tahoma"/>
            <family val="2"/>
          </rPr>
          <t>When left blank, 
no Cut Out applies.</t>
        </r>
      </text>
    </comment>
    <comment ref="S9" authorId="1" shapeId="0" xr:uid="{0DCD5609-2187-4294-A7FB-0E3B301CA707}">
      <text>
        <r>
          <rPr>
            <sz val="8"/>
            <color indexed="81"/>
            <rFont val="Tahoma"/>
            <family val="2"/>
          </rPr>
          <t>Blind Width          Maximum Cut Out Width
For 50mm/63mm PS/PS Privacy
222 - 254mm       50mm
255 - 379mm       75mm
 &gt; 380mm             130mm</t>
        </r>
      </text>
    </comment>
    <comment ref="U9" authorId="1" shapeId="0" xr:uid="{183F1FC3-A6AE-403D-903E-0693F37345EB}">
      <text>
        <r>
          <rPr>
            <sz val="8"/>
            <color indexed="81"/>
            <rFont val="Tahoma"/>
            <family val="2"/>
          </rPr>
          <t xml:space="preserve">Blind Width          Maximum Cut Out Width
For 50mm/63mm PS/PS Privacy
222 - 254mm       50mm
255 - 379mm       75mm
 &gt; 380mm             130mm
</t>
        </r>
      </text>
    </comment>
    <comment ref="D10" authorId="0" shapeId="0" xr:uid="{7D4A4A7A-A528-4490-8658-40C145A75C57}">
      <text>
        <r>
          <rPr>
            <sz val="8"/>
            <color indexed="81"/>
            <rFont val="Tahoma"/>
            <family val="2"/>
          </rPr>
          <t>The Product options are;
50mm PS Blind
50mm PS Privacy Blind
63mm PS Blind
63mm PS Privacy Blind
50mm Timber Blind</t>
        </r>
      </text>
    </comment>
    <comment ref="E10" authorId="1" shapeId="0" xr:uid="{7C4B47B3-098B-4338-B922-939F2E53DB6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0" authorId="1" shapeId="0" xr:uid="{DB76CA78-3E74-456B-BC5B-EE38F77EDF6B}">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0" authorId="1" shapeId="0" xr:uid="{2D00615C-3367-44C0-87CD-50432F1BFCF7}">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0" authorId="1" shapeId="0" xr:uid="{467AF688-B2B0-48A1-BDB7-F12C008F3EC5}">
      <text>
        <r>
          <rPr>
            <sz val="8"/>
            <color indexed="81"/>
            <rFont val="Tahoma"/>
            <family val="2"/>
          </rPr>
          <t>When selecting a
Corner or Bay 
Window Type, 
the CMB Corner WS 
or the 
CMB Bay WS 
must be completed please.</t>
        </r>
      </text>
    </comment>
    <comment ref="J10" authorId="1" shapeId="0" xr:uid="{EDCF34DE-3902-4BE9-98B0-B27A0A3083B3}">
      <text>
        <r>
          <rPr>
            <sz val="8"/>
            <color indexed="81"/>
            <rFont val="Tahoma"/>
            <family val="2"/>
          </rPr>
          <t>ACT 
Actual Measurements
You have made the allowances.
NAM
No Allowances Made 
The factory will make the deductions.</t>
        </r>
      </text>
    </comment>
    <comment ref="L10" authorId="1" shapeId="0" xr:uid="{B3CC4E6A-01D8-4D89-974D-AD5C336C64B3}">
      <text>
        <r>
          <rPr>
            <sz val="8"/>
            <color indexed="81"/>
            <rFont val="Tahoma"/>
            <family val="2"/>
          </rPr>
          <t>The Cord Lock options are;
50mm PS Privacy Blind, 
63mm PS Blind &amp; 
63mm PS Privacy Blind;
Left
Right
50mm PS Blind &amp; 
50mm Timber Blind;
Left
Right
Cordless</t>
        </r>
      </text>
    </comment>
    <comment ref="M10" authorId="1" shapeId="0" xr:uid="{5AE5BFB8-2B9F-427C-B253-C8B09DD893FA}">
      <text>
        <r>
          <rPr>
            <sz val="8"/>
            <color indexed="81"/>
            <rFont val="Tahoma"/>
            <family val="2"/>
          </rPr>
          <t>The Tilt options are;
For Cord Lock Left &amp; Right;
Left
Right
For Cordless;
Cordless Hook Wand Left
Cordless Hook Wand Right</t>
        </r>
      </text>
    </comment>
    <comment ref="O10" authorId="1" shapeId="0" xr:uid="{D9B8A580-892B-4149-B044-8D2F03C29AF5}">
      <text>
        <r>
          <rPr>
            <sz val="8"/>
            <color indexed="81"/>
            <rFont val="Tahoma"/>
            <family val="2"/>
          </rPr>
          <t>Standard is default.
Common Fascia is when the same Fascia 
is used for two Blinds.</t>
        </r>
      </text>
    </comment>
    <comment ref="Q10" authorId="1" shapeId="0" xr:uid="{D80B8CD4-F830-4635-A6CD-04DE675C4DFB}">
      <text>
        <r>
          <rPr>
            <sz val="8"/>
            <color indexed="81"/>
            <rFont val="Tahoma"/>
            <family val="2"/>
          </rPr>
          <t>When left blank, 
no Cut Out applies.</t>
        </r>
      </text>
    </comment>
    <comment ref="S10" authorId="1" shapeId="0" xr:uid="{88D717E1-5F77-4404-A4A3-3D4904C322D9}">
      <text>
        <r>
          <rPr>
            <sz val="8"/>
            <color indexed="81"/>
            <rFont val="Tahoma"/>
            <family val="2"/>
          </rPr>
          <t>Blind Width          Maximum Cut Out Width
For 50mm/63mm PS/PS Privacy
222 - 254mm       50mm
255 - 379mm       75mm
 &gt; 380mm             130mm</t>
        </r>
      </text>
    </comment>
    <comment ref="U10" authorId="1" shapeId="0" xr:uid="{FEA80A8D-4F54-4B3A-9E66-0885F5C64EC0}">
      <text>
        <r>
          <rPr>
            <sz val="8"/>
            <color indexed="81"/>
            <rFont val="Tahoma"/>
            <family val="2"/>
          </rPr>
          <t xml:space="preserve">Blind Width          Maximum Cut Out Width
For 50mm/63mm PS/PS Privacy
222 - 254mm       50mm
255 - 379mm       75mm
 &gt; 380mm             130mm
</t>
        </r>
      </text>
    </comment>
    <comment ref="D11" authorId="0" shapeId="0" xr:uid="{F69A1E1C-9B66-4C23-B3DD-934EAF6CFAD7}">
      <text>
        <r>
          <rPr>
            <sz val="8"/>
            <color indexed="81"/>
            <rFont val="Tahoma"/>
            <family val="2"/>
          </rPr>
          <t>The Product options are;
50mm PS Blind
50mm PS Privacy Blind
63mm PS Blind
63mm PS Privacy Blind
50mm Timber Blind</t>
        </r>
      </text>
    </comment>
    <comment ref="E11" authorId="1" shapeId="0" xr:uid="{6C3180AE-E359-4F10-8E26-EE77269B477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1" authorId="1" shapeId="0" xr:uid="{CFF8F6DE-9341-4A6C-B9EE-5B7E61391C2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1" authorId="1" shapeId="0" xr:uid="{D85FFCA5-868D-4D91-B6EC-E39579030C99}">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1" authorId="1" shapeId="0" xr:uid="{782D1B81-15C4-4B76-B920-AAC1116475E3}">
      <text>
        <r>
          <rPr>
            <sz val="8"/>
            <color indexed="81"/>
            <rFont val="Tahoma"/>
            <family val="2"/>
          </rPr>
          <t>When selecting a
Corner or Bay 
Window Type, 
the CMB Corner WS 
or the 
CMB Bay WS 
must be completed please.</t>
        </r>
      </text>
    </comment>
    <comment ref="J11" authorId="1" shapeId="0" xr:uid="{09A7C226-8A9B-490E-8122-7D3B98923531}">
      <text>
        <r>
          <rPr>
            <sz val="8"/>
            <color indexed="81"/>
            <rFont val="Tahoma"/>
            <family val="2"/>
          </rPr>
          <t>ACT 
Actual Measurements
You have made the allowances.
NAM
No Allowances Made 
The factory will make the deductions.</t>
        </r>
      </text>
    </comment>
    <comment ref="L11" authorId="1" shapeId="0" xr:uid="{069E257B-0356-43A8-AC9F-9E42A76D4E5B}">
      <text>
        <r>
          <rPr>
            <sz val="8"/>
            <color indexed="81"/>
            <rFont val="Tahoma"/>
            <family val="2"/>
          </rPr>
          <t>The Cord Lock options are;
50mm PS Privacy Blind, 
63mm PS Blind &amp; 
63mm PS Privacy Blind;
Left
Right
50mm PS Blind &amp; 
50mm Timber Blind;
Left
Right
Cordless</t>
        </r>
      </text>
    </comment>
    <comment ref="M11" authorId="1" shapeId="0" xr:uid="{D2692036-970E-462F-B4B7-623B91276265}">
      <text>
        <r>
          <rPr>
            <sz val="8"/>
            <color indexed="81"/>
            <rFont val="Tahoma"/>
            <family val="2"/>
          </rPr>
          <t>The Tilt options are;
For Cord Lock Left &amp; Right;
Left
Right
For Cordless;
Cordless Hook Wand Left
Cordless Hook Wand Right</t>
        </r>
      </text>
    </comment>
    <comment ref="O11" authorId="1" shapeId="0" xr:uid="{879ECE64-B53E-45C4-BA04-5A1C73FE1A77}">
      <text>
        <r>
          <rPr>
            <sz val="8"/>
            <color indexed="81"/>
            <rFont val="Tahoma"/>
            <family val="2"/>
          </rPr>
          <t>Standard is default.
Common Fascia is when the same Fascia 
is used for two Blinds.</t>
        </r>
      </text>
    </comment>
    <comment ref="Q11" authorId="1" shapeId="0" xr:uid="{0EFFA5A6-810F-4E34-8632-C5D9A06A0C46}">
      <text>
        <r>
          <rPr>
            <sz val="8"/>
            <color indexed="81"/>
            <rFont val="Tahoma"/>
            <family val="2"/>
          </rPr>
          <t>When left blank, 
no Cut Out applies.</t>
        </r>
      </text>
    </comment>
    <comment ref="S11" authorId="1" shapeId="0" xr:uid="{F231957B-DB48-44AC-86B1-F0E843D05919}">
      <text>
        <r>
          <rPr>
            <sz val="8"/>
            <color indexed="81"/>
            <rFont val="Tahoma"/>
            <family val="2"/>
          </rPr>
          <t>Blind Width          Maximum Cut Out Width
For 50mm/63mm PS/PS Privacy
222 - 254mm       50mm
255 - 379mm       75mm
 &gt; 380mm             130mm</t>
        </r>
      </text>
    </comment>
    <comment ref="U11" authorId="1" shapeId="0" xr:uid="{A62AED1A-1455-4506-9C4B-20D199CCA78D}">
      <text>
        <r>
          <rPr>
            <sz val="8"/>
            <color indexed="81"/>
            <rFont val="Tahoma"/>
            <family val="2"/>
          </rPr>
          <t xml:space="preserve">Blind Width          Maximum Cut Out Width
For 50mm/63mm PS/PS Privacy
222 - 254mm       50mm
255 - 379mm       75mm
 &gt; 380mm             130mm
</t>
        </r>
      </text>
    </comment>
    <comment ref="D12" authorId="0" shapeId="0" xr:uid="{E7B63DDA-C0D6-4622-8FA8-54CD28E5D202}">
      <text>
        <r>
          <rPr>
            <sz val="8"/>
            <color indexed="81"/>
            <rFont val="Tahoma"/>
            <family val="2"/>
          </rPr>
          <t>The Product options are;
50mm PS Blind
50mm PS Privacy Blind
63mm PS Blind
63mm PS Privacy Blind
50mm Timber Blind</t>
        </r>
      </text>
    </comment>
    <comment ref="E12" authorId="1" shapeId="0" xr:uid="{7A898E88-676F-4F49-922A-892A6A60E1B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2" authorId="1" shapeId="0" xr:uid="{5EC32DCC-0597-43F3-8541-EED694682073}">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2" authorId="1" shapeId="0" xr:uid="{A368DE5E-1FFE-4E5A-B6A6-E84611BAB707}">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2" authorId="1" shapeId="0" xr:uid="{449A6611-F601-4A9A-BCC6-D423285FE1B2}">
      <text>
        <r>
          <rPr>
            <sz val="8"/>
            <color indexed="81"/>
            <rFont val="Tahoma"/>
            <family val="2"/>
          </rPr>
          <t>When selecting a
Corner or Bay 
Window Type, 
the CMB Corner WS 
or the 
CMB Bay WS 
must be completed please.</t>
        </r>
      </text>
    </comment>
    <comment ref="J12" authorId="1" shapeId="0" xr:uid="{702840D5-F32A-4D4E-AC10-8DA6784FC25B}">
      <text>
        <r>
          <rPr>
            <sz val="8"/>
            <color indexed="81"/>
            <rFont val="Tahoma"/>
            <family val="2"/>
          </rPr>
          <t>ACT 
Actual Measurements
You have made the allowances.
NAM
No Allowances Made 
The factory will make the deductions.</t>
        </r>
      </text>
    </comment>
    <comment ref="L12" authorId="1" shapeId="0" xr:uid="{2BBFA71A-1A14-4B8D-965D-1A6E10F76372}">
      <text>
        <r>
          <rPr>
            <sz val="8"/>
            <color indexed="81"/>
            <rFont val="Tahoma"/>
            <family val="2"/>
          </rPr>
          <t>The Cord Lock options are;
50mm PS Privacy Blind, 
63mm PS Blind &amp; 
63mm PS Privacy Blind;
Left
Right
50mm PS Blind &amp; 
50mm Timber Blind;
Left
Right
Cordless</t>
        </r>
      </text>
    </comment>
    <comment ref="M12" authorId="1" shapeId="0" xr:uid="{54D4653B-CE8A-4B3C-A9AF-907DED3F04EB}">
      <text>
        <r>
          <rPr>
            <sz val="8"/>
            <color indexed="81"/>
            <rFont val="Tahoma"/>
            <family val="2"/>
          </rPr>
          <t>The Tilt options are;
For Cord Lock Left &amp; Right;
Left
Right
For Cordless;
Cordless Hook Wand Left
Cordless Hook Wand Right</t>
        </r>
      </text>
    </comment>
    <comment ref="O12" authorId="1" shapeId="0" xr:uid="{01E6FE89-5FED-450F-B9D3-EE8D49183768}">
      <text>
        <r>
          <rPr>
            <sz val="8"/>
            <color indexed="81"/>
            <rFont val="Tahoma"/>
            <family val="2"/>
          </rPr>
          <t>Standard is default.
Common Fascia is when the same Fascia 
is used for two Blinds.</t>
        </r>
      </text>
    </comment>
    <comment ref="Q12" authorId="1" shapeId="0" xr:uid="{F1EC1537-8D87-403A-B0B6-86B3D2F5AB56}">
      <text>
        <r>
          <rPr>
            <sz val="8"/>
            <color indexed="81"/>
            <rFont val="Tahoma"/>
            <family val="2"/>
          </rPr>
          <t>When left blank, 
no Cut Out applies.</t>
        </r>
      </text>
    </comment>
    <comment ref="S12" authorId="1" shapeId="0" xr:uid="{01C54295-E990-4832-A744-3D18727BBD7C}">
      <text>
        <r>
          <rPr>
            <sz val="8"/>
            <color indexed="81"/>
            <rFont val="Tahoma"/>
            <family val="2"/>
          </rPr>
          <t>Blind Width          Maximum Cut Out Width
For 50mm/63mm PS/PS Privacy
222 - 254mm       50mm
255 - 379mm       75mm
 &gt; 380mm             130mm</t>
        </r>
      </text>
    </comment>
    <comment ref="U12" authorId="1" shapeId="0" xr:uid="{BCFA836C-A63E-4221-9C97-7092BA2BF848}">
      <text>
        <r>
          <rPr>
            <sz val="8"/>
            <color indexed="81"/>
            <rFont val="Tahoma"/>
            <family val="2"/>
          </rPr>
          <t xml:space="preserve">Blind Width          Maximum Cut Out Width
For 50mm/63mm PS/PS Privacy
222 - 254mm       50mm
255 - 379mm       75mm
 &gt; 380mm             130mm
</t>
        </r>
      </text>
    </comment>
    <comment ref="D13" authorId="0" shapeId="0" xr:uid="{801BC5A0-EAA7-4871-B127-D665C4514D34}">
      <text>
        <r>
          <rPr>
            <sz val="8"/>
            <color indexed="81"/>
            <rFont val="Tahoma"/>
            <family val="2"/>
          </rPr>
          <t>The Product options are;
50mm PS Blind
50mm PS Privacy Blind
63mm PS Blind
63mm PS Privacy Blind
50mm Timber Blind</t>
        </r>
      </text>
    </comment>
    <comment ref="E13" authorId="1" shapeId="0" xr:uid="{B6F74CA1-8AFE-455E-9DBB-FA078A3C084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3" authorId="1" shapeId="0" xr:uid="{F4A89E8C-7040-467C-8CDD-CAAE17A9171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3" authorId="1" shapeId="0" xr:uid="{A5CC3BEE-0957-43D5-8E95-E1039F75A79C}">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3" authorId="1" shapeId="0" xr:uid="{9DB67A2A-5982-4301-BF7C-4B5A65C87218}">
      <text>
        <r>
          <rPr>
            <sz val="8"/>
            <color indexed="81"/>
            <rFont val="Tahoma"/>
            <family val="2"/>
          </rPr>
          <t>When selecting a
Corner or Bay 
Window Type, 
the CMB Corner WS 
or the 
CMB Bay WS 
must be completed please.</t>
        </r>
      </text>
    </comment>
    <comment ref="J13" authorId="1" shapeId="0" xr:uid="{D4055D02-7F1D-478A-BCC2-F3455FEF2847}">
      <text>
        <r>
          <rPr>
            <sz val="8"/>
            <color indexed="81"/>
            <rFont val="Tahoma"/>
            <family val="2"/>
          </rPr>
          <t>ACT 
Actual Measurements
You have made the allowances.
NAM
No Allowances Made 
The factory will make the deductions.</t>
        </r>
      </text>
    </comment>
    <comment ref="L13" authorId="1" shapeId="0" xr:uid="{F0CB0DF7-2312-40F0-9D94-1CD2144A4E0A}">
      <text>
        <r>
          <rPr>
            <sz val="8"/>
            <color indexed="81"/>
            <rFont val="Tahoma"/>
            <family val="2"/>
          </rPr>
          <t>The Cord Lock options are;
50mm PS Privacy Blind, 
63mm PS Blind &amp; 
63mm PS Privacy Blind;
Left
Right
50mm PS Blind &amp; 
50mm Timber Blind;
Left
Right
Cordless</t>
        </r>
      </text>
    </comment>
    <comment ref="M13" authorId="1" shapeId="0" xr:uid="{71F21AAA-3C1C-455C-AC3A-8BB6DDCD5289}">
      <text>
        <r>
          <rPr>
            <sz val="8"/>
            <color indexed="81"/>
            <rFont val="Tahoma"/>
            <family val="2"/>
          </rPr>
          <t>The Tilt options are;
For Cord Lock Left &amp; Right;
Left
Right
For Cordless;
Cordless Hook Wand Left
Cordless Hook Wand Right</t>
        </r>
      </text>
    </comment>
    <comment ref="O13" authorId="1" shapeId="0" xr:uid="{A00A3B74-C8CE-4337-B294-DC2E38098242}">
      <text>
        <r>
          <rPr>
            <sz val="8"/>
            <color indexed="81"/>
            <rFont val="Tahoma"/>
            <family val="2"/>
          </rPr>
          <t>Standard is default.
Common Fascia is when the same Fascia 
is used for two Blinds.</t>
        </r>
      </text>
    </comment>
    <comment ref="Q13" authorId="1" shapeId="0" xr:uid="{FC802854-485B-46FC-9644-530B6324D459}">
      <text>
        <r>
          <rPr>
            <sz val="8"/>
            <color indexed="81"/>
            <rFont val="Tahoma"/>
            <family val="2"/>
          </rPr>
          <t>When left blank, 
no Cut Out applies.</t>
        </r>
      </text>
    </comment>
    <comment ref="S13" authorId="1" shapeId="0" xr:uid="{D3DE0858-268E-4D8D-B632-16A660CE12F9}">
      <text>
        <r>
          <rPr>
            <sz val="8"/>
            <color indexed="81"/>
            <rFont val="Tahoma"/>
            <family val="2"/>
          </rPr>
          <t>Blind Width          Maximum Cut Out Width
For 50mm/63mm PS/PS Privacy
222 - 254mm       50mm
255 - 379mm       75mm
 &gt; 380mm             130mm</t>
        </r>
      </text>
    </comment>
    <comment ref="U13" authorId="1" shapeId="0" xr:uid="{A1707BF7-8BC9-452C-AF5F-79C2D3AFA473}">
      <text>
        <r>
          <rPr>
            <sz val="8"/>
            <color indexed="81"/>
            <rFont val="Tahoma"/>
            <family val="2"/>
          </rPr>
          <t xml:space="preserve">Blind Width          Maximum Cut Out Width
For 50mm/63mm PS/PS Privacy
222 - 254mm       50mm
255 - 379mm       75mm
 &gt; 380mm             130mm
</t>
        </r>
      </text>
    </comment>
    <comment ref="D14" authorId="0" shapeId="0" xr:uid="{45088EBB-247D-4FEB-9C64-42D2700AE223}">
      <text>
        <r>
          <rPr>
            <sz val="8"/>
            <color indexed="81"/>
            <rFont val="Tahoma"/>
            <family val="2"/>
          </rPr>
          <t>The Product options are;
50mm PS Blind
50mm PS Privacy Blind
63mm PS Blind
63mm PS Privacy Blind
50mm Timber Blind</t>
        </r>
      </text>
    </comment>
    <comment ref="E14" authorId="1" shapeId="0" xr:uid="{BB0ABBC7-2E5C-41B4-8810-2053FA6173C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4" authorId="1" shapeId="0" xr:uid="{F21A80AD-7A28-468A-A221-59CCA6527D3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4" authorId="1" shapeId="0" xr:uid="{9F0F8AD1-9E90-4FF0-BB5B-E08DEEE64997}">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4" authorId="1" shapeId="0" xr:uid="{6B403D26-C4A3-48FB-9709-3E7997EC9527}">
      <text>
        <r>
          <rPr>
            <sz val="8"/>
            <color indexed="81"/>
            <rFont val="Tahoma"/>
            <family val="2"/>
          </rPr>
          <t>When selecting a
Corner or Bay 
Window Type, 
the CMB Corner WS 
or the 
CMB Bay WS 
must be completed please.</t>
        </r>
      </text>
    </comment>
    <comment ref="J14" authorId="1" shapeId="0" xr:uid="{617883CC-DCDC-4AE3-A9A9-6CA87AE613A7}">
      <text>
        <r>
          <rPr>
            <sz val="8"/>
            <color indexed="81"/>
            <rFont val="Tahoma"/>
            <family val="2"/>
          </rPr>
          <t>ACT 
Actual Measurements
You have made the allowances.
NAM
No Allowances Made 
The factory will make the deductions.</t>
        </r>
      </text>
    </comment>
    <comment ref="L14" authorId="1" shapeId="0" xr:uid="{9A45FDD4-528E-473A-A62D-F7B3D03C3805}">
      <text>
        <r>
          <rPr>
            <sz val="8"/>
            <color indexed="81"/>
            <rFont val="Tahoma"/>
            <family val="2"/>
          </rPr>
          <t>The Cord Lock options are;
50mm PS Privacy Blind, 
63mm PS Blind &amp; 
63mm PS Privacy Blind;
Left
Right
50mm PS Blind &amp; 
50mm Timber Blind;
Left
Right
Cordless</t>
        </r>
      </text>
    </comment>
    <comment ref="M14" authorId="1" shapeId="0" xr:uid="{A0A8E9C8-EE35-450F-AB69-8EEBAE58537F}">
      <text>
        <r>
          <rPr>
            <sz val="8"/>
            <color indexed="81"/>
            <rFont val="Tahoma"/>
            <family val="2"/>
          </rPr>
          <t>The Tilt options are;
For Cord Lock Left &amp; Right;
Left
Right
For Cordless;
Cordless Hook Wand Left
Cordless Hook Wand Right</t>
        </r>
      </text>
    </comment>
    <comment ref="O14" authorId="1" shapeId="0" xr:uid="{5D5E432E-8513-4905-AFF8-9CBE6168DF9C}">
      <text>
        <r>
          <rPr>
            <sz val="8"/>
            <color indexed="81"/>
            <rFont val="Tahoma"/>
            <family val="2"/>
          </rPr>
          <t>Standard is default.
Common Fascia is when the same Fascia 
is used for two Blinds.</t>
        </r>
      </text>
    </comment>
    <comment ref="Q14" authorId="1" shapeId="0" xr:uid="{1CAB0FFA-399C-4F21-8C2A-9984A8BFC2B3}">
      <text>
        <r>
          <rPr>
            <sz val="8"/>
            <color indexed="81"/>
            <rFont val="Tahoma"/>
            <family val="2"/>
          </rPr>
          <t>When left blank, 
no Cut Out applies.</t>
        </r>
      </text>
    </comment>
    <comment ref="S14" authorId="1" shapeId="0" xr:uid="{39B89692-E08E-4029-B75D-D26DE0840A7B}">
      <text>
        <r>
          <rPr>
            <sz val="8"/>
            <color indexed="81"/>
            <rFont val="Tahoma"/>
            <family val="2"/>
          </rPr>
          <t>Blind Width          Maximum Cut Out Width
For 50mm/63mm PS/PS Privacy
222 - 254mm       50mm
255 - 379mm       75mm
 &gt; 380mm             130mm</t>
        </r>
      </text>
    </comment>
    <comment ref="U14" authorId="1" shapeId="0" xr:uid="{F758D352-7FDA-413E-B9C6-9EE94DBF03F2}">
      <text>
        <r>
          <rPr>
            <sz val="8"/>
            <color indexed="81"/>
            <rFont val="Tahoma"/>
            <family val="2"/>
          </rPr>
          <t xml:space="preserve">Blind Width          Maximum Cut Out Width
For 50mm/63mm PS/PS Privacy
222 - 254mm       50mm
255 - 379mm       75mm
 &gt; 380mm             130mm
</t>
        </r>
      </text>
    </comment>
    <comment ref="D15" authorId="0" shapeId="0" xr:uid="{54630696-4118-4B7D-9A87-59F494CF0966}">
      <text>
        <r>
          <rPr>
            <sz val="8"/>
            <color indexed="81"/>
            <rFont val="Tahoma"/>
            <family val="2"/>
          </rPr>
          <t>The Product options are;
50mm PS Blind
50mm PS Privacy Blind
63mm PS Blind
63mm PS Privacy Blind
50mm Timber Blind</t>
        </r>
      </text>
    </comment>
    <comment ref="E15" authorId="1" shapeId="0" xr:uid="{CC384FF1-79F0-478D-A343-61C8ED042B3A}">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5" authorId="1" shapeId="0" xr:uid="{7C5DE168-39A1-4697-8BB3-5E8896651644}">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5" authorId="1" shapeId="0" xr:uid="{F8EE9B13-670C-4C1F-8412-A518D79CEAFF}">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5" authorId="1" shapeId="0" xr:uid="{AD7FEB63-81A3-40F5-8BAD-C3C00C7455BA}">
      <text>
        <r>
          <rPr>
            <sz val="8"/>
            <color indexed="81"/>
            <rFont val="Tahoma"/>
            <family val="2"/>
          </rPr>
          <t>When selecting a
Corner or Bay 
Window Type, 
the CMB Corner WS 
or the 
CMB Bay WS 
must be completed please.</t>
        </r>
      </text>
    </comment>
    <comment ref="J15" authorId="1" shapeId="0" xr:uid="{11260DCF-D384-42DF-8F45-91826ECDD943}">
      <text>
        <r>
          <rPr>
            <sz val="8"/>
            <color indexed="81"/>
            <rFont val="Tahoma"/>
            <family val="2"/>
          </rPr>
          <t>ACT 
Actual Measurements
You have made the allowances.
NAM
No Allowances Made 
The factory will make the deductions.</t>
        </r>
      </text>
    </comment>
    <comment ref="L15" authorId="1" shapeId="0" xr:uid="{3A88EEF7-F53D-4885-96B4-219D30B594BB}">
      <text>
        <r>
          <rPr>
            <sz val="8"/>
            <color indexed="81"/>
            <rFont val="Tahoma"/>
            <family val="2"/>
          </rPr>
          <t>The Cord Lock options are;
50mm PS Privacy Blind, 
63mm PS Blind &amp; 
63mm PS Privacy Blind;
Left
Right
50mm PS Blind &amp; 
50mm Timber Blind;
Left
Right
Cordless</t>
        </r>
      </text>
    </comment>
    <comment ref="M15" authorId="1" shapeId="0" xr:uid="{76461C3E-CF0B-4B25-B4C9-EEAAEB1C10FC}">
      <text>
        <r>
          <rPr>
            <sz val="8"/>
            <color indexed="81"/>
            <rFont val="Tahoma"/>
            <family val="2"/>
          </rPr>
          <t>The Tilt options are;
For Cord Lock Left &amp; Right;
Left
Right
For Cordless;
Cordless Hook Wand Left
Cordless Hook Wand Right</t>
        </r>
      </text>
    </comment>
    <comment ref="O15" authorId="1" shapeId="0" xr:uid="{F2908DD6-10BE-4A2B-8763-D2FA33C90D4D}">
      <text>
        <r>
          <rPr>
            <sz val="8"/>
            <color indexed="81"/>
            <rFont val="Tahoma"/>
            <family val="2"/>
          </rPr>
          <t>Standard is default.
Common Fascia is when the same Fascia 
is used for two Blinds.</t>
        </r>
      </text>
    </comment>
    <comment ref="Q15" authorId="1" shapeId="0" xr:uid="{8EF96FE2-F183-4384-8D38-F09FB2777906}">
      <text>
        <r>
          <rPr>
            <sz val="8"/>
            <color indexed="81"/>
            <rFont val="Tahoma"/>
            <family val="2"/>
          </rPr>
          <t>When left blank, 
no Cut Out applies.</t>
        </r>
      </text>
    </comment>
    <comment ref="S15" authorId="1" shapeId="0" xr:uid="{17951EF3-A0D5-43A9-A66B-D0987E044852}">
      <text>
        <r>
          <rPr>
            <sz val="8"/>
            <color indexed="81"/>
            <rFont val="Tahoma"/>
            <family val="2"/>
          </rPr>
          <t>Blind Width          Maximum Cut Out Width
For 50mm/63mm PS/PS Privacy
222 - 254mm       50mm
255 - 379mm       75mm
 &gt; 380mm             130mm</t>
        </r>
      </text>
    </comment>
    <comment ref="U15" authorId="1" shapeId="0" xr:uid="{40D90B6E-34C9-4120-AD3B-FBC98D08D06D}">
      <text>
        <r>
          <rPr>
            <sz val="8"/>
            <color indexed="81"/>
            <rFont val="Tahoma"/>
            <family val="2"/>
          </rPr>
          <t xml:space="preserve">Blind Width          Maximum Cut Out Width
For 50mm/63mm PS/PS Privacy
222 - 254mm       50mm
255 - 379mm       75mm
 &gt; 380mm             130mm
</t>
        </r>
      </text>
    </comment>
    <comment ref="D16" authorId="0" shapeId="0" xr:uid="{EFC39E1A-461F-4AC7-835B-CEDF7706C194}">
      <text>
        <r>
          <rPr>
            <sz val="8"/>
            <color indexed="81"/>
            <rFont val="Tahoma"/>
            <family val="2"/>
          </rPr>
          <t>The Product options are;
50mm PS Blind
50mm PS Privacy Blind
63mm PS Blind
63mm PS Privacy Blind
50mm Timber Blind</t>
        </r>
      </text>
    </comment>
    <comment ref="E16" authorId="1" shapeId="0" xr:uid="{64A13D40-6C73-4732-9E19-D48D3609E90E}">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6" authorId="1" shapeId="0" xr:uid="{8592D1FE-55BE-460A-84A1-750A998D205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6" authorId="1" shapeId="0" xr:uid="{A823A91C-5AF3-4DA9-B45C-CD058D526CA6}">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6" authorId="1" shapeId="0" xr:uid="{906EA254-9A4D-43A0-9A7D-0A19CC429F51}">
      <text>
        <r>
          <rPr>
            <sz val="8"/>
            <color indexed="81"/>
            <rFont val="Tahoma"/>
            <family val="2"/>
          </rPr>
          <t>When selecting a
Corner or Bay 
Window Type, 
the CMB Corner WS 
or the 
CMB Bay WS 
must be completed please.</t>
        </r>
      </text>
    </comment>
    <comment ref="J16" authorId="1" shapeId="0" xr:uid="{AC0567D4-0DBD-435E-8252-C3EA89642D41}">
      <text>
        <r>
          <rPr>
            <sz val="8"/>
            <color indexed="81"/>
            <rFont val="Tahoma"/>
            <family val="2"/>
          </rPr>
          <t>ACT 
Actual Measurements
You have made the allowances.
NAM
No Allowances Made 
The factory will make the deductions.</t>
        </r>
      </text>
    </comment>
    <comment ref="L16" authorId="1" shapeId="0" xr:uid="{C596FA4F-F133-4A6D-9A6C-5425453162B6}">
      <text>
        <r>
          <rPr>
            <sz val="8"/>
            <color indexed="81"/>
            <rFont val="Tahoma"/>
            <family val="2"/>
          </rPr>
          <t>The Cord Lock options are;
50mm PS Privacy Blind, 
63mm PS Blind &amp; 
63mm PS Privacy Blind;
Left
Right
50mm PS Blind &amp; 
50mm Timber Blind;
Left
Right
Cordless</t>
        </r>
      </text>
    </comment>
    <comment ref="M16" authorId="1" shapeId="0" xr:uid="{1929A827-0529-4323-A5C0-EC7802454FCB}">
      <text>
        <r>
          <rPr>
            <sz val="8"/>
            <color indexed="81"/>
            <rFont val="Tahoma"/>
            <family val="2"/>
          </rPr>
          <t>The Tilt options are;
For Cord Lock Left &amp; Right;
Left
Right
For Cordless;
Cordless Hook Wand Left
Cordless Hook Wand Right</t>
        </r>
      </text>
    </comment>
    <comment ref="O16" authorId="1" shapeId="0" xr:uid="{4BD2DFDC-BBE7-4013-AE86-977E810CE91E}">
      <text>
        <r>
          <rPr>
            <sz val="8"/>
            <color indexed="81"/>
            <rFont val="Tahoma"/>
            <family val="2"/>
          </rPr>
          <t>Standard is default.
Common Fascia is when the same Fascia 
is used for two Blinds.</t>
        </r>
      </text>
    </comment>
    <comment ref="Q16" authorId="1" shapeId="0" xr:uid="{B9C265CB-69CB-4CF2-A746-29C2505DADF1}">
      <text>
        <r>
          <rPr>
            <sz val="8"/>
            <color indexed="81"/>
            <rFont val="Tahoma"/>
            <family val="2"/>
          </rPr>
          <t>When left blank, 
no Cut Out applies.</t>
        </r>
      </text>
    </comment>
    <comment ref="S16" authorId="1" shapeId="0" xr:uid="{CF1C085B-A6FC-4993-97D0-660EC4B33B70}">
      <text>
        <r>
          <rPr>
            <sz val="8"/>
            <color indexed="81"/>
            <rFont val="Tahoma"/>
            <family val="2"/>
          </rPr>
          <t>Blind Width          Maximum Cut Out Width
For 50mm/63mm PS/PS Privacy
222 - 254mm       50mm
255 - 379mm       75mm
 &gt; 380mm             130mm</t>
        </r>
      </text>
    </comment>
    <comment ref="U16" authorId="1" shapeId="0" xr:uid="{470AF71E-6B08-4263-BFC3-BF1CC2717ED3}">
      <text>
        <r>
          <rPr>
            <sz val="8"/>
            <color indexed="81"/>
            <rFont val="Tahoma"/>
            <family val="2"/>
          </rPr>
          <t xml:space="preserve">Blind Width          Maximum Cut Out Width
For 50mm/63mm PS/PS Privacy
222 - 254mm       50mm
255 - 379mm       75mm
 &gt; 380mm             130mm
</t>
        </r>
      </text>
    </comment>
    <comment ref="D17" authorId="0" shapeId="0" xr:uid="{4D029A43-4E1E-4DC6-9E10-E27FFCF99A80}">
      <text>
        <r>
          <rPr>
            <sz val="8"/>
            <color indexed="81"/>
            <rFont val="Tahoma"/>
            <family val="2"/>
          </rPr>
          <t>The Product options are;
50mm PS Blind
50mm PS Privacy Blind
63mm PS Blind
63mm PS Privacy Blind
50mm Timber Blind</t>
        </r>
      </text>
    </comment>
    <comment ref="E17" authorId="1" shapeId="0" xr:uid="{698B80C4-C47E-4270-A099-16F5AFDBBE4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7" authorId="1" shapeId="0" xr:uid="{D87C31B4-4AA8-41D6-B413-9CEB259DA0EF}">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7" authorId="1" shapeId="0" xr:uid="{EC72E9F1-B371-45EA-86A7-55DF73676253}">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7" authorId="1" shapeId="0" xr:uid="{01893AE0-DC64-4048-8839-689C24062AC5}">
      <text>
        <r>
          <rPr>
            <sz val="8"/>
            <color indexed="81"/>
            <rFont val="Tahoma"/>
            <family val="2"/>
          </rPr>
          <t>When selecting a
Corner or Bay 
Window Type, 
the CMB Corner WS 
or the 
CMB Bay WS 
must be completed please.</t>
        </r>
      </text>
    </comment>
    <comment ref="J17" authorId="1" shapeId="0" xr:uid="{EF55BC74-D1B4-4E31-A7A8-50BD398F024C}">
      <text>
        <r>
          <rPr>
            <sz val="8"/>
            <color indexed="81"/>
            <rFont val="Tahoma"/>
            <family val="2"/>
          </rPr>
          <t>ACT 
Actual Measurements
You have made the allowances.
NAM
No Allowances Made 
The factory will make the deductions.</t>
        </r>
      </text>
    </comment>
    <comment ref="L17" authorId="1" shapeId="0" xr:uid="{A62D7DC5-2082-4506-9E97-AFEEB8C377C8}">
      <text>
        <r>
          <rPr>
            <sz val="8"/>
            <color indexed="81"/>
            <rFont val="Tahoma"/>
            <family val="2"/>
          </rPr>
          <t>The Cord Lock options are;
50mm PS Privacy Blind, 
63mm PS Blind &amp; 
63mm PS Privacy Blind;
Left
Right
50mm PS Blind &amp; 
50mm Timber Blind;
Left
Right
Cordless</t>
        </r>
      </text>
    </comment>
    <comment ref="M17" authorId="1" shapeId="0" xr:uid="{FEF95988-7585-4DEF-B040-883956085EA3}">
      <text>
        <r>
          <rPr>
            <sz val="8"/>
            <color indexed="81"/>
            <rFont val="Tahoma"/>
            <family val="2"/>
          </rPr>
          <t>The Tilt options are;
For Cord Lock Left &amp; Right;
Left
Right
For Cordless;
Cordless Hook Wand Left
Cordless Hook Wand Right</t>
        </r>
      </text>
    </comment>
    <comment ref="O17" authorId="1" shapeId="0" xr:uid="{48DE810E-BEE3-4073-A215-52B46AAB45F0}">
      <text>
        <r>
          <rPr>
            <sz val="8"/>
            <color indexed="81"/>
            <rFont val="Tahoma"/>
            <family val="2"/>
          </rPr>
          <t>Standard is default.
Common Fascia is when the same Fascia 
is used for two Blinds.</t>
        </r>
      </text>
    </comment>
    <comment ref="Q17" authorId="1" shapeId="0" xr:uid="{4157C9F5-8AA4-49D9-AD53-758ED32B8517}">
      <text>
        <r>
          <rPr>
            <sz val="8"/>
            <color indexed="81"/>
            <rFont val="Tahoma"/>
            <family val="2"/>
          </rPr>
          <t>When left blank, 
no Cut Out applies.</t>
        </r>
      </text>
    </comment>
    <comment ref="S17" authorId="1" shapeId="0" xr:uid="{9B0ACB7D-02C3-4A2A-8C18-23C438630E74}">
      <text>
        <r>
          <rPr>
            <sz val="8"/>
            <color indexed="81"/>
            <rFont val="Tahoma"/>
            <family val="2"/>
          </rPr>
          <t>Blind Width          Maximum Cut Out Width
For 50mm/63mm PS/PS Privacy
222 - 254mm       50mm
255 - 379mm       75mm
 &gt; 380mm             130mm</t>
        </r>
      </text>
    </comment>
    <comment ref="U17" authorId="1" shapeId="0" xr:uid="{13198C5B-073F-426E-A1A8-5D441AD835E8}">
      <text>
        <r>
          <rPr>
            <sz val="8"/>
            <color indexed="81"/>
            <rFont val="Tahoma"/>
            <family val="2"/>
          </rPr>
          <t xml:space="preserve">Blind Width          Maximum Cut Out Width
For 50mm/63mm PS/PS Privacy
222 - 254mm       50mm
255 - 379mm       75mm
 &gt; 380mm             130mm
</t>
        </r>
      </text>
    </comment>
    <comment ref="D18" authorId="0" shapeId="0" xr:uid="{2F96186E-4DD4-4F3B-9375-3AECC2C3432A}">
      <text>
        <r>
          <rPr>
            <sz val="8"/>
            <color indexed="81"/>
            <rFont val="Tahoma"/>
            <family val="2"/>
          </rPr>
          <t>The Product options are;
50mm PS Blind
50mm PS Privacy Blind
63mm PS Blind
63mm PS Privacy Blind
50mm Timber Blind</t>
        </r>
      </text>
    </comment>
    <comment ref="E18" authorId="1" shapeId="0" xr:uid="{762B685D-0D2D-4404-A5B6-04F974D622F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8" authorId="1" shapeId="0" xr:uid="{4DC1D3CC-B0E7-4310-9F01-689EDDA7918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8" authorId="1" shapeId="0" xr:uid="{01E930A2-C994-441E-872A-83E81B419080}">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8" authorId="1" shapeId="0" xr:uid="{5A148454-5B3E-4AFE-ABB2-AE7EDF5C87BE}">
      <text>
        <r>
          <rPr>
            <sz val="8"/>
            <color indexed="81"/>
            <rFont val="Tahoma"/>
            <family val="2"/>
          </rPr>
          <t>When selecting a
Corner or Bay 
Window Type, 
the CMB Corner WS 
or the 
CMB Bay WS 
must be completed please.</t>
        </r>
      </text>
    </comment>
    <comment ref="J18" authorId="1" shapeId="0" xr:uid="{8B1D7D57-E505-44F5-A926-44CA5DA016AE}">
      <text>
        <r>
          <rPr>
            <sz val="8"/>
            <color indexed="81"/>
            <rFont val="Tahoma"/>
            <family val="2"/>
          </rPr>
          <t>ACT 
Actual Measurements
You have made the allowances.
NAM
No Allowances Made 
The factory will make the deductions.</t>
        </r>
      </text>
    </comment>
    <comment ref="L18" authorId="1" shapeId="0" xr:uid="{41B1FBA6-109B-4138-98BB-1944018FB72F}">
      <text>
        <r>
          <rPr>
            <sz val="8"/>
            <color indexed="81"/>
            <rFont val="Tahoma"/>
            <family val="2"/>
          </rPr>
          <t>The Cord Lock options are;
50mm PS Privacy Blind, 
63mm PS Blind &amp; 
63mm PS Privacy Blind;
Left
Right
50mm PS Blind &amp; 
50mm Timber Blind;
Left
Right
Cordless</t>
        </r>
      </text>
    </comment>
    <comment ref="M18" authorId="1" shapeId="0" xr:uid="{D71F87F4-B01F-4684-A388-9B59F8391E1D}">
      <text>
        <r>
          <rPr>
            <sz val="8"/>
            <color indexed="81"/>
            <rFont val="Tahoma"/>
            <family val="2"/>
          </rPr>
          <t>The Tilt options are;
For Cord Lock Left &amp; Right;
Left
Right
For Cordless;
Cordless Hook Wand Left
Cordless Hook Wand Right</t>
        </r>
      </text>
    </comment>
    <comment ref="O18" authorId="1" shapeId="0" xr:uid="{BDDB4BBD-62DE-47B9-A954-2218BA8C8F66}">
      <text>
        <r>
          <rPr>
            <sz val="8"/>
            <color indexed="81"/>
            <rFont val="Tahoma"/>
            <family val="2"/>
          </rPr>
          <t>Standard is default.
Common Fascia is when the same Fascia 
is used for two Blinds.</t>
        </r>
      </text>
    </comment>
    <comment ref="Q18" authorId="1" shapeId="0" xr:uid="{82DEF23A-618C-41DF-A529-D71BB7828C06}">
      <text>
        <r>
          <rPr>
            <sz val="8"/>
            <color indexed="81"/>
            <rFont val="Tahoma"/>
            <family val="2"/>
          </rPr>
          <t>When left blank, 
no Cut Out applies.</t>
        </r>
      </text>
    </comment>
    <comment ref="S18" authorId="1" shapeId="0" xr:uid="{E49AC189-80A7-4493-8F1C-96D6C0D28320}">
      <text>
        <r>
          <rPr>
            <sz val="8"/>
            <color indexed="81"/>
            <rFont val="Tahoma"/>
            <family val="2"/>
          </rPr>
          <t>Blind Width          Maximum Cut Out Width
For 50mm/63mm PS/PS Privacy
222 - 254mm       50mm
255 - 379mm       75mm
 &gt; 380mm             130mm</t>
        </r>
      </text>
    </comment>
    <comment ref="U18" authorId="1" shapeId="0" xr:uid="{41360ED5-F262-4B36-A7BD-9D2C2BF4A899}">
      <text>
        <r>
          <rPr>
            <sz val="8"/>
            <color indexed="81"/>
            <rFont val="Tahoma"/>
            <family val="2"/>
          </rPr>
          <t xml:space="preserve">Blind Width          Maximum Cut Out Width
For 50mm/63mm PS/PS Privacy
222 - 254mm       50mm
255 - 379mm       75mm
 &gt; 380mm             130mm
</t>
        </r>
      </text>
    </comment>
    <comment ref="D19" authorId="0" shapeId="0" xr:uid="{A764C7B2-87F1-475C-97A4-BCA9278D45E7}">
      <text>
        <r>
          <rPr>
            <sz val="8"/>
            <color indexed="81"/>
            <rFont val="Tahoma"/>
            <family val="2"/>
          </rPr>
          <t>The Product options are;
50mm PS Blind
50mm PS Privacy Blind
63mm PS Blind
63mm PS Privacy Blind
50mm Timber Blind</t>
        </r>
      </text>
    </comment>
    <comment ref="E19" authorId="1" shapeId="0" xr:uid="{354F90B6-C168-435D-83EC-29E35282DAC5}">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9" authorId="1" shapeId="0" xr:uid="{EA65D917-CAAB-42FB-BD9E-A69633F8898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9" authorId="1" shapeId="0" xr:uid="{18DB1F52-9962-4082-B15B-8467CC48AE0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9" authorId="1" shapeId="0" xr:uid="{A8C1ACEF-0DF7-4F4F-9391-006E298E36D5}">
      <text>
        <r>
          <rPr>
            <sz val="8"/>
            <color indexed="81"/>
            <rFont val="Tahoma"/>
            <family val="2"/>
          </rPr>
          <t>When selecting a
Corner or Bay 
Window Type, 
the CMB Corner WS 
or the 
CMB Bay WS 
must be completed please.</t>
        </r>
      </text>
    </comment>
    <comment ref="J19" authorId="1" shapeId="0" xr:uid="{B22AF899-9B94-4D7B-838B-F319D9A38185}">
      <text>
        <r>
          <rPr>
            <sz val="8"/>
            <color indexed="81"/>
            <rFont val="Tahoma"/>
            <family val="2"/>
          </rPr>
          <t>ACT 
Actual Measurements
You have made the allowances.
NAM
No Allowances Made 
The factory will make the deductions.</t>
        </r>
      </text>
    </comment>
    <comment ref="L19" authorId="1" shapeId="0" xr:uid="{E781635F-29C1-43FC-978C-5C20EB0693F3}">
      <text>
        <r>
          <rPr>
            <sz val="8"/>
            <color indexed="81"/>
            <rFont val="Tahoma"/>
            <family val="2"/>
          </rPr>
          <t>The Cord Lock options are;
50mm PS Privacy Blind, 
63mm PS Blind &amp; 
63mm PS Privacy Blind;
Left
Right
50mm PS Blind &amp; 
50mm Timber Blind;
Left
Right
Cordless</t>
        </r>
      </text>
    </comment>
    <comment ref="M19" authorId="1" shapeId="0" xr:uid="{5D556705-3264-4441-8BAD-DDB19A6C4E85}">
      <text>
        <r>
          <rPr>
            <sz val="8"/>
            <color indexed="81"/>
            <rFont val="Tahoma"/>
            <family val="2"/>
          </rPr>
          <t>The Tilt options are;
For Cord Lock Left &amp; Right;
Left
Right
For Cordless;
Cordless Hook Wand Left
Cordless Hook Wand Right</t>
        </r>
      </text>
    </comment>
    <comment ref="O19" authorId="1" shapeId="0" xr:uid="{B55996FF-EDD6-492E-A008-0F51F952C8BB}">
      <text>
        <r>
          <rPr>
            <sz val="8"/>
            <color indexed="81"/>
            <rFont val="Tahoma"/>
            <family val="2"/>
          </rPr>
          <t>Standard is default.
Common Fascia is when the same Fascia 
is used for two Blinds.</t>
        </r>
      </text>
    </comment>
    <comment ref="Q19" authorId="1" shapeId="0" xr:uid="{51BA3AF6-498E-4A59-AE60-60BEB8D929ED}">
      <text>
        <r>
          <rPr>
            <sz val="8"/>
            <color indexed="81"/>
            <rFont val="Tahoma"/>
            <family val="2"/>
          </rPr>
          <t>When left blank, 
no Cut Out applies.</t>
        </r>
      </text>
    </comment>
    <comment ref="S19" authorId="1" shapeId="0" xr:uid="{05DB1024-B106-445B-927E-5A0C3361F2C8}">
      <text>
        <r>
          <rPr>
            <sz val="8"/>
            <color indexed="81"/>
            <rFont val="Tahoma"/>
            <family val="2"/>
          </rPr>
          <t>Blind Width          Maximum Cut Out Width
For 50mm/63mm PS/PS Privacy
222 - 254mm       50mm
255 - 379mm       75mm
 &gt; 380mm             130mm</t>
        </r>
      </text>
    </comment>
    <comment ref="U19" authorId="1" shapeId="0" xr:uid="{FE256233-AD9A-4468-8D4D-064775DF5C2E}">
      <text>
        <r>
          <rPr>
            <sz val="8"/>
            <color indexed="81"/>
            <rFont val="Tahoma"/>
            <family val="2"/>
          </rPr>
          <t xml:space="preserve">Blind Width          Maximum Cut Out Width
For 50mm/63mm PS/PS Privacy
222 - 254mm       50mm
255 - 379mm       75mm
 &gt; 380mm             130mm
</t>
        </r>
      </text>
    </comment>
    <comment ref="D20" authorId="0" shapeId="0" xr:uid="{1B8D0B13-1FFF-46CE-9E21-DC0685D6BC1E}">
      <text>
        <r>
          <rPr>
            <sz val="8"/>
            <color indexed="81"/>
            <rFont val="Tahoma"/>
            <family val="2"/>
          </rPr>
          <t>The Product options are;
50mm PS Blind
50mm PS Privacy Blind
63mm PS Blind
63mm PS Privacy Blind
50mm Timber Blind</t>
        </r>
      </text>
    </comment>
    <comment ref="E20" authorId="1" shapeId="0" xr:uid="{7AA84AA5-1E98-42B3-8AF1-067EC41AECDF}">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0" authorId="1" shapeId="0" xr:uid="{F553BA6B-6F8A-48BD-81A5-DA62CD9F17C1}">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0" authorId="1" shapeId="0" xr:uid="{45D6D4A8-FB4E-4FA7-9DF8-4F0DCA84F4F4}">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0" authorId="1" shapeId="0" xr:uid="{45B3E873-C868-4A5F-97E2-8BEE7E67BC77}">
      <text>
        <r>
          <rPr>
            <sz val="8"/>
            <color indexed="81"/>
            <rFont val="Tahoma"/>
            <family val="2"/>
          </rPr>
          <t>When selecting a
Corner or Bay 
Window Type, 
the CMB Corner WS 
or the 
CMB Bay WS 
must be completed please.</t>
        </r>
      </text>
    </comment>
    <comment ref="J20" authorId="1" shapeId="0" xr:uid="{4F7FCE06-FE7D-4161-A799-F8E68D9054B4}">
      <text>
        <r>
          <rPr>
            <sz val="8"/>
            <color indexed="81"/>
            <rFont val="Tahoma"/>
            <family val="2"/>
          </rPr>
          <t>ACT 
Actual Measurements
You have made the allowances.
NAM
No Allowances Made 
The factory will make the deductions.</t>
        </r>
      </text>
    </comment>
    <comment ref="L20" authorId="1" shapeId="0" xr:uid="{0D12B146-0B33-4A0A-8BE0-E1C5617C7438}">
      <text>
        <r>
          <rPr>
            <sz val="8"/>
            <color indexed="81"/>
            <rFont val="Tahoma"/>
            <family val="2"/>
          </rPr>
          <t>The Cord Lock options are;
50mm PS Privacy Blind, 
63mm PS Blind &amp; 
63mm PS Privacy Blind;
Left
Right
50mm PS Blind &amp; 
50mm Timber Blind;
Left
Right
Cordless</t>
        </r>
      </text>
    </comment>
    <comment ref="M20" authorId="1" shapeId="0" xr:uid="{A9E0DC33-9900-4B97-83E6-DEA8DB8A9034}">
      <text>
        <r>
          <rPr>
            <sz val="8"/>
            <color indexed="81"/>
            <rFont val="Tahoma"/>
            <family val="2"/>
          </rPr>
          <t>The Tilt options are;
For Cord Lock Left &amp; Right;
Left
Right
For Cordless;
Cordless Hook Wand Left
Cordless Hook Wand Right</t>
        </r>
      </text>
    </comment>
    <comment ref="O20" authorId="1" shapeId="0" xr:uid="{82971AF9-DD22-40FB-9186-654150A23EC6}">
      <text>
        <r>
          <rPr>
            <sz val="8"/>
            <color indexed="81"/>
            <rFont val="Tahoma"/>
            <family val="2"/>
          </rPr>
          <t>Standard is default.
Common Fascia is when the same Fascia 
is used for two Blinds.</t>
        </r>
      </text>
    </comment>
    <comment ref="Q20" authorId="1" shapeId="0" xr:uid="{7F4D9324-35FC-4F24-A733-921369592DDE}">
      <text>
        <r>
          <rPr>
            <sz val="8"/>
            <color indexed="81"/>
            <rFont val="Tahoma"/>
            <family val="2"/>
          </rPr>
          <t>When left blank, 
no Cut Out applies.</t>
        </r>
      </text>
    </comment>
    <comment ref="S20" authorId="1" shapeId="0" xr:uid="{B4554684-AEB7-43FC-BD1B-480A8EEAB2AD}">
      <text>
        <r>
          <rPr>
            <sz val="8"/>
            <color indexed="81"/>
            <rFont val="Tahoma"/>
            <family val="2"/>
          </rPr>
          <t>Blind Width          Maximum Cut Out Width
For 50mm/63mm PS/PS Privacy
222 - 254mm       50mm
255 - 379mm       75mm
 &gt; 380mm             130mm</t>
        </r>
      </text>
    </comment>
    <comment ref="U20" authorId="1" shapeId="0" xr:uid="{73124451-8EA5-45E5-9F80-DA5263A11860}">
      <text>
        <r>
          <rPr>
            <sz val="8"/>
            <color indexed="81"/>
            <rFont val="Tahoma"/>
            <family val="2"/>
          </rPr>
          <t xml:space="preserve">Blind Width          Maximum Cut Out Width
For 50mm/63mm PS/PS Privacy
222 - 254mm       50mm
255 - 379mm       75mm
 &gt; 380mm             130mm
</t>
        </r>
      </text>
    </comment>
    <comment ref="D21" authorId="0" shapeId="0" xr:uid="{3F087F47-585C-40F7-AFE8-BDD8312766AA}">
      <text>
        <r>
          <rPr>
            <sz val="8"/>
            <color indexed="81"/>
            <rFont val="Tahoma"/>
            <family val="2"/>
          </rPr>
          <t>The Product options are;
50mm PS Blind
50mm PS Privacy Blind
63mm PS Blind
63mm PS Privacy Blind
50mm Timber Blind</t>
        </r>
      </text>
    </comment>
    <comment ref="E21" authorId="1" shapeId="0" xr:uid="{D5F383B4-9477-4CA1-8E5B-2EE78494C38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1" authorId="1" shapeId="0" xr:uid="{52338C85-B0B0-4757-B35D-6DBB69A68D68}">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1" authorId="1" shapeId="0" xr:uid="{B0BD2394-B2D8-4262-9BB7-8B45391F235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1" authorId="1" shapeId="0" xr:uid="{D8C87541-9541-4235-BE4E-A62316152965}">
      <text>
        <r>
          <rPr>
            <sz val="8"/>
            <color indexed="81"/>
            <rFont val="Tahoma"/>
            <family val="2"/>
          </rPr>
          <t>When selecting a
Corner or Bay 
Window Type, 
the CMB Corner WS 
or the 
CMB Bay WS 
must be completed please.</t>
        </r>
      </text>
    </comment>
    <comment ref="J21" authorId="1" shapeId="0" xr:uid="{29D65680-D6DA-4030-B93A-3F8BD12F5726}">
      <text>
        <r>
          <rPr>
            <sz val="8"/>
            <color indexed="81"/>
            <rFont val="Tahoma"/>
            <family val="2"/>
          </rPr>
          <t>ACT 
Actual Measurements
You have made the allowances.
NAM
No Allowances Made 
The factory will make the deductions.</t>
        </r>
      </text>
    </comment>
    <comment ref="L21" authorId="1" shapeId="0" xr:uid="{230B4613-C848-4F7A-8A0D-E4EDCB78A638}">
      <text>
        <r>
          <rPr>
            <sz val="8"/>
            <color indexed="81"/>
            <rFont val="Tahoma"/>
            <family val="2"/>
          </rPr>
          <t>The Cord Lock options are;
50mm PS Privacy Blind, 
63mm PS Blind &amp; 
63mm PS Privacy Blind;
Left
Right
50mm PS Blind &amp; 
50mm Timber Blind;
Left
Right
Cordless</t>
        </r>
      </text>
    </comment>
    <comment ref="M21" authorId="1" shapeId="0" xr:uid="{8F537D65-C912-4AAF-8105-8B2C34E04230}">
      <text>
        <r>
          <rPr>
            <sz val="8"/>
            <color indexed="81"/>
            <rFont val="Tahoma"/>
            <family val="2"/>
          </rPr>
          <t>The Tilt options are;
For Cord Lock Left &amp; Right;
Left
Right
For Cordless;
Cordless Hook Wand Left
Cordless Hook Wand Right</t>
        </r>
      </text>
    </comment>
    <comment ref="O21" authorId="1" shapeId="0" xr:uid="{F5ED3083-BE3A-469A-84A1-C309E2D10778}">
      <text>
        <r>
          <rPr>
            <sz val="8"/>
            <color indexed="81"/>
            <rFont val="Tahoma"/>
            <family val="2"/>
          </rPr>
          <t>Standard is default.
Common Fascia is when the same Fascia 
is used for two Blinds.</t>
        </r>
      </text>
    </comment>
    <comment ref="Q21" authorId="1" shapeId="0" xr:uid="{66123D39-C099-4575-81C4-8C46EECCAEF3}">
      <text>
        <r>
          <rPr>
            <sz val="8"/>
            <color indexed="81"/>
            <rFont val="Tahoma"/>
            <family val="2"/>
          </rPr>
          <t>When left blank, 
no Cut Out applies.</t>
        </r>
      </text>
    </comment>
    <comment ref="S21" authorId="1" shapeId="0" xr:uid="{3F47FBBA-BA4E-4C8F-8892-39709670D43E}">
      <text>
        <r>
          <rPr>
            <sz val="8"/>
            <color indexed="81"/>
            <rFont val="Tahoma"/>
            <family val="2"/>
          </rPr>
          <t>Blind Width          Maximum Cut Out Width
For 50mm/63mm PS/PS Privacy
222 - 254mm       50mm
255 - 379mm       75mm
 &gt; 380mm             130mm</t>
        </r>
      </text>
    </comment>
    <comment ref="U21" authorId="1" shapeId="0" xr:uid="{77C12C81-F08F-408D-BF7E-46C58E60A7D4}">
      <text>
        <r>
          <rPr>
            <sz val="8"/>
            <color indexed="81"/>
            <rFont val="Tahoma"/>
            <family val="2"/>
          </rPr>
          <t xml:space="preserve">Blind Width          Maximum Cut Out Width
For 50mm/63mm PS/PS Privacy
222 - 254mm       50mm
255 - 379mm       75mm
 &gt; 380mm             130mm
</t>
        </r>
      </text>
    </comment>
    <comment ref="D22" authorId="0" shapeId="0" xr:uid="{C06ECEC7-9EE4-4320-9E53-B6F10F851919}">
      <text>
        <r>
          <rPr>
            <sz val="8"/>
            <color indexed="81"/>
            <rFont val="Tahoma"/>
            <family val="2"/>
          </rPr>
          <t>The Product options are;
50mm PS Blind
50mm PS Privacy Blind
63mm PS Blind
63mm PS Privacy Blind
50mm Timber Blind</t>
        </r>
      </text>
    </comment>
    <comment ref="E22" authorId="1" shapeId="0" xr:uid="{F961309C-7860-434D-A59A-3F0FD113F478}">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2" authorId="1" shapeId="0" xr:uid="{0DC38913-4532-47E9-BF09-46AE1754317E}">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2" authorId="1" shapeId="0" xr:uid="{3A8A91EA-A937-4BC1-9F4C-C78F45E1333C}">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2" authorId="1" shapeId="0" xr:uid="{20012865-9409-4DA3-8A7D-C0CF78554443}">
      <text>
        <r>
          <rPr>
            <sz val="8"/>
            <color indexed="81"/>
            <rFont val="Tahoma"/>
            <family val="2"/>
          </rPr>
          <t>When selecting a
Corner or Bay 
Window Type, 
the CMB Corner WS 
or the 
CMB Bay WS 
must be completed please.</t>
        </r>
      </text>
    </comment>
    <comment ref="J22" authorId="1" shapeId="0" xr:uid="{33C99758-48B0-494E-8A69-F946D0313428}">
      <text>
        <r>
          <rPr>
            <sz val="8"/>
            <color indexed="81"/>
            <rFont val="Tahoma"/>
            <family val="2"/>
          </rPr>
          <t>ACT 
Actual Measurements
You have made the allowances.
NAM
No Allowances Made 
The factory will make the deductions.</t>
        </r>
      </text>
    </comment>
    <comment ref="L22" authorId="1" shapeId="0" xr:uid="{1570801D-071E-4126-B414-B884081F9F47}">
      <text>
        <r>
          <rPr>
            <sz val="8"/>
            <color indexed="81"/>
            <rFont val="Tahoma"/>
            <family val="2"/>
          </rPr>
          <t>The Cord Lock options are;
50mm PS Privacy Blind, 
63mm PS Blind &amp; 
63mm PS Privacy Blind;
Left
Right
50mm PS Blind &amp; 
50mm Timber Blind;
Left
Right
Cordless</t>
        </r>
      </text>
    </comment>
    <comment ref="M22" authorId="1" shapeId="0" xr:uid="{4D8C27BE-8B65-4F9E-90F3-03DD62448ED5}">
      <text>
        <r>
          <rPr>
            <sz val="8"/>
            <color indexed="81"/>
            <rFont val="Tahoma"/>
            <family val="2"/>
          </rPr>
          <t>The Tilt options are;
For Cord Lock Left &amp; Right;
Left
Right
For Cordless;
Cordless Hook Wand Left
Cordless Hook Wand Right</t>
        </r>
      </text>
    </comment>
    <comment ref="O22" authorId="1" shapeId="0" xr:uid="{8C276945-71BA-4638-8DC6-C77B997EAB19}">
      <text>
        <r>
          <rPr>
            <sz val="8"/>
            <color indexed="81"/>
            <rFont val="Tahoma"/>
            <family val="2"/>
          </rPr>
          <t>Standard is default.
Common Fascia is when the same Fascia 
is used for two Blinds.</t>
        </r>
      </text>
    </comment>
    <comment ref="Q22" authorId="1" shapeId="0" xr:uid="{04EB34EA-8192-45C9-9C51-EB7D91C302A6}">
      <text>
        <r>
          <rPr>
            <sz val="8"/>
            <color indexed="81"/>
            <rFont val="Tahoma"/>
            <family val="2"/>
          </rPr>
          <t>When left blank, 
no Cut Out applies.</t>
        </r>
      </text>
    </comment>
    <comment ref="S22" authorId="1" shapeId="0" xr:uid="{1202A636-5122-4A32-B311-ECE774A60EC3}">
      <text>
        <r>
          <rPr>
            <sz val="8"/>
            <color indexed="81"/>
            <rFont val="Tahoma"/>
            <family val="2"/>
          </rPr>
          <t>Blind Width          Maximum Cut Out Width
For 50mm/63mm PS/PS Privacy
222 - 254mm       50mm
255 - 379mm       75mm
 &gt; 380mm             130mm</t>
        </r>
      </text>
    </comment>
    <comment ref="U22" authorId="1" shapeId="0" xr:uid="{68A08E1F-B0F7-403C-9FA0-81453339FB44}">
      <text>
        <r>
          <rPr>
            <sz val="8"/>
            <color indexed="81"/>
            <rFont val="Tahoma"/>
            <family val="2"/>
          </rPr>
          <t xml:space="preserve">Blind Width          Maximum Cut Out Width
For 50mm/63mm PS/PS Privacy
222 - 254mm       50mm
255 - 379mm       75mm
 &gt; 380mm             130mm
</t>
        </r>
      </text>
    </comment>
    <comment ref="D23" authorId="0" shapeId="0" xr:uid="{D234433C-798D-45B4-84E5-2289D22870F4}">
      <text>
        <r>
          <rPr>
            <sz val="8"/>
            <color indexed="81"/>
            <rFont val="Tahoma"/>
            <family val="2"/>
          </rPr>
          <t>The Product options are;
50mm PS Blind
50mm PS Privacy Blind
63mm PS Blind
63mm PS Privacy Blind
50mm Timber Blind</t>
        </r>
      </text>
    </comment>
    <comment ref="E23" authorId="1" shapeId="0" xr:uid="{39C64854-608B-4204-8920-F9D51FABC88E}">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3" authorId="1" shapeId="0" xr:uid="{D2177C50-CBC8-4624-B4B0-2288990531CB}">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3" authorId="1" shapeId="0" xr:uid="{E8C5736F-8B6F-479F-84B5-BB2563FFA13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3" authorId="1" shapeId="0" xr:uid="{7FF84D8A-8AE3-4742-8E74-FC3233B5CF56}">
      <text>
        <r>
          <rPr>
            <sz val="8"/>
            <color indexed="81"/>
            <rFont val="Tahoma"/>
            <family val="2"/>
          </rPr>
          <t>When selecting a
Corner or Bay 
Window Type, 
the CMB Corner WS 
or the 
CMB Bay WS 
must be completed please.</t>
        </r>
      </text>
    </comment>
    <comment ref="J23" authorId="1" shapeId="0" xr:uid="{1B72E1D1-AD08-453E-A396-B90222E19A6A}">
      <text>
        <r>
          <rPr>
            <sz val="8"/>
            <color indexed="81"/>
            <rFont val="Tahoma"/>
            <family val="2"/>
          </rPr>
          <t>ACT 
Actual Measurements
You have made the allowances.
NAM
No Allowances Made 
The factory will make the deductions.</t>
        </r>
      </text>
    </comment>
    <comment ref="L23" authorId="1" shapeId="0" xr:uid="{16AC6384-64FB-43D7-B260-6C7A8E38BA34}">
      <text>
        <r>
          <rPr>
            <sz val="8"/>
            <color indexed="81"/>
            <rFont val="Tahoma"/>
            <family val="2"/>
          </rPr>
          <t>The Cord Lock options are;
50mm PS Privacy Blind, 
63mm PS Blind &amp; 
63mm PS Privacy Blind;
Left
Right
50mm PS Blind &amp; 
50mm Timber Blind;
Left
Right
Cordless</t>
        </r>
      </text>
    </comment>
    <comment ref="M23" authorId="1" shapeId="0" xr:uid="{8BE1082A-7917-409F-B2F0-8611F1EE9E1D}">
      <text>
        <r>
          <rPr>
            <sz val="8"/>
            <color indexed="81"/>
            <rFont val="Tahoma"/>
            <family val="2"/>
          </rPr>
          <t>The Tilt options are;
For Cord Lock Left &amp; Right;
Left
Right
For Cordless;
Cordless Hook Wand Left
Cordless Hook Wand Right</t>
        </r>
      </text>
    </comment>
    <comment ref="O23" authorId="1" shapeId="0" xr:uid="{1DA8B298-CE6B-4D88-A04C-40031B9F53EB}">
      <text>
        <r>
          <rPr>
            <sz val="8"/>
            <color indexed="81"/>
            <rFont val="Tahoma"/>
            <family val="2"/>
          </rPr>
          <t>Standard is default.
Common Fascia is when the same Fascia 
is used for two Blinds.</t>
        </r>
      </text>
    </comment>
    <comment ref="Q23" authorId="1" shapeId="0" xr:uid="{EE9C82D3-9CCE-4514-9325-BCECF26F66D1}">
      <text>
        <r>
          <rPr>
            <sz val="8"/>
            <color indexed="81"/>
            <rFont val="Tahoma"/>
            <family val="2"/>
          </rPr>
          <t>When left blank, 
no Cut Out applies.</t>
        </r>
      </text>
    </comment>
    <comment ref="S23" authorId="1" shapeId="0" xr:uid="{42868B6D-36DF-4ED9-A400-38E859C59D0A}">
      <text>
        <r>
          <rPr>
            <sz val="8"/>
            <color indexed="81"/>
            <rFont val="Tahoma"/>
            <family val="2"/>
          </rPr>
          <t>Blind Width          Maximum Cut Out Width
For 50mm/63mm PS/PS Privacy
222 - 254mm       50mm
255 - 379mm       75mm
 &gt; 380mm             130mm</t>
        </r>
      </text>
    </comment>
    <comment ref="U23" authorId="1" shapeId="0" xr:uid="{8CA57660-002A-4246-AC06-63B47823CD29}">
      <text>
        <r>
          <rPr>
            <sz val="8"/>
            <color indexed="81"/>
            <rFont val="Tahoma"/>
            <family val="2"/>
          </rPr>
          <t xml:space="preserve">Blind Width          Maximum Cut Out Width
For 50mm/63mm PS/PS Privacy
222 - 254mm       50mm
255 - 379mm       75mm
 &gt; 380mm             130mm
</t>
        </r>
      </text>
    </comment>
    <comment ref="D24" authorId="0" shapeId="0" xr:uid="{7A90D62A-9EF9-42C0-9F80-6859C5CC83BF}">
      <text>
        <r>
          <rPr>
            <sz val="8"/>
            <color indexed="81"/>
            <rFont val="Tahoma"/>
            <family val="2"/>
          </rPr>
          <t>The Product options are;
50mm PS Blind
50mm PS Privacy Blind
63mm PS Blind
63mm PS Privacy Blind
50mm Timber Blind</t>
        </r>
      </text>
    </comment>
    <comment ref="E24" authorId="1" shapeId="0" xr:uid="{6F008056-2781-4F18-8C35-E69B99BE871B}">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4" authorId="1" shapeId="0" xr:uid="{9ACEB061-7284-4326-A2FB-ACB83D13CC0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4" authorId="1" shapeId="0" xr:uid="{708154A5-EF8F-43F7-8F6D-CFC6E7EE3B08}">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4" authorId="1" shapeId="0" xr:uid="{6306700A-B953-4D2B-8114-3A79B6AD88CA}">
      <text>
        <r>
          <rPr>
            <sz val="8"/>
            <color indexed="81"/>
            <rFont val="Tahoma"/>
            <family val="2"/>
          </rPr>
          <t>When selecting a
Corner or Bay 
Window Type, 
the CMB Corner WS 
or the 
CMB Bay WS 
must be completed please.</t>
        </r>
      </text>
    </comment>
    <comment ref="J24" authorId="1" shapeId="0" xr:uid="{2D73B926-FE5C-497C-957E-8DEB5F3E0447}">
      <text>
        <r>
          <rPr>
            <sz val="8"/>
            <color indexed="81"/>
            <rFont val="Tahoma"/>
            <family val="2"/>
          </rPr>
          <t>ACT 
Actual Measurements
You have made the allowances.
NAM
No Allowances Made 
The factory will make the deductions.</t>
        </r>
      </text>
    </comment>
    <comment ref="L24" authorId="1" shapeId="0" xr:uid="{D318EB8A-7064-4D8D-A2EA-DC05955543B3}">
      <text>
        <r>
          <rPr>
            <sz val="8"/>
            <color indexed="81"/>
            <rFont val="Tahoma"/>
            <family val="2"/>
          </rPr>
          <t>The Cord Lock options are;
50mm PS Privacy Blind, 
63mm PS Blind &amp; 
63mm PS Privacy Blind;
Left
Right
50mm PS Blind &amp; 
50mm Timber Blind;
Left
Right
Cordless</t>
        </r>
      </text>
    </comment>
    <comment ref="M24" authorId="1" shapeId="0" xr:uid="{E20A12BC-A709-4FC4-BD8E-55E032B5DBB6}">
      <text>
        <r>
          <rPr>
            <sz val="8"/>
            <color indexed="81"/>
            <rFont val="Tahoma"/>
            <family val="2"/>
          </rPr>
          <t>The Tilt options are;
For Cord Lock Left &amp; Right;
Left
Right
For Cordless;
Cordless Hook Wand Left
Cordless Hook Wand Right</t>
        </r>
      </text>
    </comment>
    <comment ref="O24" authorId="1" shapeId="0" xr:uid="{C545EFB6-96D4-4D46-BBDC-497652166132}">
      <text>
        <r>
          <rPr>
            <sz val="8"/>
            <color indexed="81"/>
            <rFont val="Tahoma"/>
            <family val="2"/>
          </rPr>
          <t>Standard is default.
Common Fascia is when the same Fascia 
is used for two Blinds.</t>
        </r>
      </text>
    </comment>
    <comment ref="Q24" authorId="1" shapeId="0" xr:uid="{0941BBD0-2DA3-48D3-88A5-468BBEC2C2ED}">
      <text>
        <r>
          <rPr>
            <sz val="8"/>
            <color indexed="81"/>
            <rFont val="Tahoma"/>
            <family val="2"/>
          </rPr>
          <t>When left blank, 
no Cut Out applies.</t>
        </r>
      </text>
    </comment>
    <comment ref="S24" authorId="1" shapeId="0" xr:uid="{4A84BC0C-DBE6-4CD8-A2D0-F1A27BD9A100}">
      <text>
        <r>
          <rPr>
            <sz val="8"/>
            <color indexed="81"/>
            <rFont val="Tahoma"/>
            <family val="2"/>
          </rPr>
          <t>Blind Width          Maximum Cut Out Width
For 50mm/63mm PS/PS Privacy
222 - 254mm       50mm
255 - 379mm       75mm
 &gt; 380mm             130mm</t>
        </r>
      </text>
    </comment>
    <comment ref="U24" authorId="1" shapeId="0" xr:uid="{F138C911-E228-486C-9086-E64090D70101}">
      <text>
        <r>
          <rPr>
            <sz val="8"/>
            <color indexed="81"/>
            <rFont val="Tahoma"/>
            <family val="2"/>
          </rPr>
          <t xml:space="preserve">Blind Width          Maximum Cut Out Width
For 50mm/63mm PS/PS Privacy
222 - 254mm       50mm
255 - 379mm       75mm
 &gt; 380mm             130mm
</t>
        </r>
      </text>
    </comment>
    <comment ref="D25" authorId="0" shapeId="0" xr:uid="{C8AF4E79-8A84-4221-B017-0FBFBAC11002}">
      <text>
        <r>
          <rPr>
            <sz val="8"/>
            <color indexed="81"/>
            <rFont val="Tahoma"/>
            <family val="2"/>
          </rPr>
          <t>The Product options are;
50mm PS Blind
50mm PS Privacy Blind
63mm PS Blind
63mm PS Privacy Blind
50mm Timber Blind</t>
        </r>
      </text>
    </comment>
    <comment ref="E25" authorId="1" shapeId="0" xr:uid="{5E75C3A1-AE77-4D5B-81B6-1024DF787170}">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5" authorId="1" shapeId="0" xr:uid="{053E7905-F27E-41C4-A603-7EB2041C986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5" authorId="1" shapeId="0" xr:uid="{35C37D0D-3E59-41D9-A73F-94746C2448F9}">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5" authorId="1" shapeId="0" xr:uid="{67833124-1A2C-4368-8289-7B31B25B7D68}">
      <text>
        <r>
          <rPr>
            <sz val="8"/>
            <color indexed="81"/>
            <rFont val="Tahoma"/>
            <family val="2"/>
          </rPr>
          <t>When selecting a
Corner or Bay 
Window Type, 
the CMB Corner WS 
or the 
CMB Bay WS 
must be completed please.</t>
        </r>
      </text>
    </comment>
    <comment ref="J25" authorId="1" shapeId="0" xr:uid="{DD885232-190A-48C5-A557-205BB91996E2}">
      <text>
        <r>
          <rPr>
            <sz val="8"/>
            <color indexed="81"/>
            <rFont val="Tahoma"/>
            <family val="2"/>
          </rPr>
          <t>ACT 
Actual Measurements
You have made the allowances.
NAM
No Allowances Made 
The factory will make the deductions.</t>
        </r>
      </text>
    </comment>
    <comment ref="L25" authorId="1" shapeId="0" xr:uid="{F66E39D7-6FC6-4D94-B903-D251BD4E5609}">
      <text>
        <r>
          <rPr>
            <sz val="8"/>
            <color indexed="81"/>
            <rFont val="Tahoma"/>
            <family val="2"/>
          </rPr>
          <t>The Cord Lock options are;
50mm PS Privacy Blind, 
63mm PS Blind &amp; 
63mm PS Privacy Blind;
Left
Right
50mm PS Blind &amp; 
50mm Timber Blind;
Left
Right
Cordless</t>
        </r>
      </text>
    </comment>
    <comment ref="M25" authorId="1" shapeId="0" xr:uid="{8D718431-58E5-4FB4-9ED1-92723947B3E8}">
      <text>
        <r>
          <rPr>
            <sz val="8"/>
            <color indexed="81"/>
            <rFont val="Tahoma"/>
            <family val="2"/>
          </rPr>
          <t>The Tilt options are;
For Cord Lock Left &amp; Right;
Left
Right
For Cordless;
Cordless Hook Wand Left
Cordless Hook Wand Right</t>
        </r>
      </text>
    </comment>
    <comment ref="O25" authorId="1" shapeId="0" xr:uid="{D23F909F-F188-48C0-B822-DDA56DD207AC}">
      <text>
        <r>
          <rPr>
            <sz val="8"/>
            <color indexed="81"/>
            <rFont val="Tahoma"/>
            <family val="2"/>
          </rPr>
          <t>Standard is default.
Common Fascia is when the same Fascia 
is used for two Blinds.</t>
        </r>
      </text>
    </comment>
    <comment ref="Q25" authorId="1" shapeId="0" xr:uid="{2F48016F-7F06-4D70-80C8-0AE42ACA33B6}">
      <text>
        <r>
          <rPr>
            <sz val="8"/>
            <color indexed="81"/>
            <rFont val="Tahoma"/>
            <family val="2"/>
          </rPr>
          <t>When left blank, 
no Cut Out applies.</t>
        </r>
      </text>
    </comment>
    <comment ref="S25" authorId="1" shapeId="0" xr:uid="{715654BB-EE6D-4718-B0D3-AE60ABA29B0E}">
      <text>
        <r>
          <rPr>
            <sz val="8"/>
            <color indexed="81"/>
            <rFont val="Tahoma"/>
            <family val="2"/>
          </rPr>
          <t>Blind Width          Maximum Cut Out Width
For 50mm/63mm PS/PS Privacy
222 - 254mm       50mm
255 - 379mm       75mm
 &gt; 380mm             130mm</t>
        </r>
      </text>
    </comment>
    <comment ref="U25" authorId="1" shapeId="0" xr:uid="{158C8D0F-F45B-4E5A-96AC-BAAFB4BBEC6A}">
      <text>
        <r>
          <rPr>
            <sz val="8"/>
            <color indexed="81"/>
            <rFont val="Tahoma"/>
            <family val="2"/>
          </rPr>
          <t xml:space="preserve">Blind Width          Maximum Cut Out Width
For 50mm/63mm PS/PS Privacy
222 - 254mm       50mm
255 - 379mm       75mm
 &gt; 380mm             130mm
</t>
        </r>
      </text>
    </comment>
    <comment ref="D26" authorId="0" shapeId="0" xr:uid="{20799110-7AC8-4B61-B127-34605145E5C6}">
      <text>
        <r>
          <rPr>
            <sz val="8"/>
            <color indexed="81"/>
            <rFont val="Tahoma"/>
            <family val="2"/>
          </rPr>
          <t>The Product options are;
50mm PS Blind
50mm PS Privacy Blind
63mm PS Blind
63mm PS Privacy Blind
50mm Timber Blind</t>
        </r>
      </text>
    </comment>
    <comment ref="E26" authorId="1" shapeId="0" xr:uid="{0F1E7BE0-0BB9-48C9-B68E-EAE098EEF4F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6" authorId="1" shapeId="0" xr:uid="{7578AABA-EC43-43D0-94D6-87154DB573D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6" authorId="1" shapeId="0" xr:uid="{45E0FC61-0CBA-4968-9073-4F7DAFC5C38A}">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6" authorId="1" shapeId="0" xr:uid="{E17BD440-DF09-421C-9079-42F35EA8F7A5}">
      <text>
        <r>
          <rPr>
            <sz val="8"/>
            <color indexed="81"/>
            <rFont val="Tahoma"/>
            <family val="2"/>
          </rPr>
          <t>When selecting a
Corner or Bay 
Window Type, 
the CMB Corner WS 
or the 
CMB Bay WS 
must be completed please.</t>
        </r>
      </text>
    </comment>
    <comment ref="J26" authorId="1" shapeId="0" xr:uid="{DF13E719-F43E-41D6-8DC1-92E7373397B4}">
      <text>
        <r>
          <rPr>
            <sz val="8"/>
            <color indexed="81"/>
            <rFont val="Tahoma"/>
            <family val="2"/>
          </rPr>
          <t>ACT 
Actual Measurements
You have made the allowances.
NAM
No Allowances Made 
The factory will make the deductions.</t>
        </r>
      </text>
    </comment>
    <comment ref="L26" authorId="1" shapeId="0" xr:uid="{4F6C5DCB-E274-43A1-8296-F7ED8074E244}">
      <text>
        <r>
          <rPr>
            <sz val="8"/>
            <color indexed="81"/>
            <rFont val="Tahoma"/>
            <family val="2"/>
          </rPr>
          <t>The Cord Lock options are;
50mm PS Privacy Blind, 
63mm PS Blind &amp; 
63mm PS Privacy Blind;
Left
Right
50mm PS Blind &amp; 
50mm Timber Blind;
Left
Right
Cordless</t>
        </r>
      </text>
    </comment>
    <comment ref="M26" authorId="1" shapeId="0" xr:uid="{8926D68E-F747-4169-BD5E-42493BDBF7FA}">
      <text>
        <r>
          <rPr>
            <sz val="8"/>
            <color indexed="81"/>
            <rFont val="Tahoma"/>
            <family val="2"/>
          </rPr>
          <t>The Tilt options are;
For Cord Lock Left &amp; Right;
Left
Right
For Cordless;
Cordless Hook Wand Left
Cordless Hook Wand Right</t>
        </r>
      </text>
    </comment>
    <comment ref="O26" authorId="1" shapeId="0" xr:uid="{119B44DE-E11F-4EEF-9E33-586D4E1CA763}">
      <text>
        <r>
          <rPr>
            <sz val="8"/>
            <color indexed="81"/>
            <rFont val="Tahoma"/>
            <family val="2"/>
          </rPr>
          <t>Standard is default.
Common Fascia is when the same Fascia 
is used for two Blinds.</t>
        </r>
      </text>
    </comment>
    <comment ref="Q26" authorId="1" shapeId="0" xr:uid="{5E4245D1-ACD8-4BD6-896F-53FFECBEC169}">
      <text>
        <r>
          <rPr>
            <sz val="8"/>
            <color indexed="81"/>
            <rFont val="Tahoma"/>
            <family val="2"/>
          </rPr>
          <t>When left blank, 
no Cut Out applies.</t>
        </r>
      </text>
    </comment>
    <comment ref="S26" authorId="1" shapeId="0" xr:uid="{A93EE281-C83D-4B5F-804C-E3CFC25E3010}">
      <text>
        <r>
          <rPr>
            <sz val="8"/>
            <color indexed="81"/>
            <rFont val="Tahoma"/>
            <family val="2"/>
          </rPr>
          <t>Blind Width          Maximum Cut Out Width
For 50mm/63mm PS/PS Privacy
222 - 254mm       50mm
255 - 379mm       75mm
 &gt; 380mm             130mm</t>
        </r>
      </text>
    </comment>
    <comment ref="U26" authorId="1" shapeId="0" xr:uid="{6E7621A9-EEC8-473A-BC56-CBC69D4EB0D6}">
      <text>
        <r>
          <rPr>
            <sz val="8"/>
            <color indexed="81"/>
            <rFont val="Tahoma"/>
            <family val="2"/>
          </rPr>
          <t xml:space="preserve">Blind Width          Maximum Cut Out Width
For 50mm/63mm PS/PS Privacy
222 - 254mm       50mm
255 - 379mm       75mm
 &gt; 380mm             130mm
</t>
        </r>
      </text>
    </comment>
    <comment ref="D27" authorId="0" shapeId="0" xr:uid="{0933497A-24EE-40C0-AE6A-0CDAAC33B415}">
      <text>
        <r>
          <rPr>
            <sz val="8"/>
            <color indexed="81"/>
            <rFont val="Tahoma"/>
            <family val="2"/>
          </rPr>
          <t>The Product options are;
50mm PS Blind
50mm PS Privacy Blind
63mm PS Blind
63mm PS Privacy Blind
50mm Timber Blind</t>
        </r>
      </text>
    </comment>
    <comment ref="E27" authorId="1" shapeId="0" xr:uid="{3181AF7D-6B32-4FA6-B7A7-93326F9AFE7F}">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7" authorId="1" shapeId="0" xr:uid="{817DE01F-321E-42B4-91D1-88D863B86B8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7" authorId="1" shapeId="0" xr:uid="{952AB7DC-2C67-4808-B018-FCFC3C723AC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7" authorId="1" shapeId="0" xr:uid="{E5B059F0-FA5E-4566-BCE8-E440F1DD801C}">
      <text>
        <r>
          <rPr>
            <sz val="8"/>
            <color indexed="81"/>
            <rFont val="Tahoma"/>
            <family val="2"/>
          </rPr>
          <t>When selecting a
Corner or Bay 
Window Type, 
the CMB Corner WS 
or the 
CMB Bay WS 
must be completed please.</t>
        </r>
      </text>
    </comment>
    <comment ref="J27" authorId="1" shapeId="0" xr:uid="{ABB66BFC-7FFE-45F8-AB27-1AFB86D79EE2}">
      <text>
        <r>
          <rPr>
            <sz val="8"/>
            <color indexed="81"/>
            <rFont val="Tahoma"/>
            <family val="2"/>
          </rPr>
          <t>ACT 
Actual Measurements
You have made the allowances.
NAM
No Allowances Made 
The factory will make the deductions.</t>
        </r>
      </text>
    </comment>
    <comment ref="L27" authorId="1" shapeId="0" xr:uid="{7EB86FCD-DC21-406B-BE07-18DA7A62CEA9}">
      <text>
        <r>
          <rPr>
            <sz val="8"/>
            <color indexed="81"/>
            <rFont val="Tahoma"/>
            <family val="2"/>
          </rPr>
          <t>The Cord Lock options are;
50mm PS Privacy Blind, 
63mm PS Blind &amp; 
63mm PS Privacy Blind;
Left
Right
50mm PS Blind &amp; 
50mm Timber Blind;
Left
Right
Cordless</t>
        </r>
      </text>
    </comment>
    <comment ref="M27" authorId="1" shapeId="0" xr:uid="{E16504C3-41FB-4C0D-B833-C6F829304500}">
      <text>
        <r>
          <rPr>
            <sz val="8"/>
            <color indexed="81"/>
            <rFont val="Tahoma"/>
            <family val="2"/>
          </rPr>
          <t>The Tilt options are;
For Cord Lock Left &amp; Right;
Left
Right
For Cordless;
Cordless Hook Wand Left
Cordless Hook Wand Right</t>
        </r>
      </text>
    </comment>
    <comment ref="O27" authorId="1" shapeId="0" xr:uid="{C3F7BCE2-F85B-483D-95F2-488CC3C6E4DD}">
      <text>
        <r>
          <rPr>
            <sz val="8"/>
            <color indexed="81"/>
            <rFont val="Tahoma"/>
            <family val="2"/>
          </rPr>
          <t>Standard is default.
Common Fascia is when the same Fascia 
is used for two Blinds.</t>
        </r>
      </text>
    </comment>
    <comment ref="Q27" authorId="1" shapeId="0" xr:uid="{984206DF-8A6D-418B-9910-9C5DD38863C3}">
      <text>
        <r>
          <rPr>
            <sz val="8"/>
            <color indexed="81"/>
            <rFont val="Tahoma"/>
            <family val="2"/>
          </rPr>
          <t>When left blank, 
no Cut Out applies.</t>
        </r>
      </text>
    </comment>
    <comment ref="S27" authorId="1" shapeId="0" xr:uid="{20025341-F434-443A-9B98-1B797F2CEA04}">
      <text>
        <r>
          <rPr>
            <sz val="8"/>
            <color indexed="81"/>
            <rFont val="Tahoma"/>
            <family val="2"/>
          </rPr>
          <t>Blind Width          Maximum Cut Out Width
For 50mm/63mm PS/PS Privacy
222 - 254mm       50mm
255 - 379mm       75mm
 &gt; 380mm             130mm</t>
        </r>
      </text>
    </comment>
    <comment ref="U27" authorId="1" shapeId="0" xr:uid="{251AC026-033C-4C66-A6C4-77D4AFAE832C}">
      <text>
        <r>
          <rPr>
            <sz val="8"/>
            <color indexed="81"/>
            <rFont val="Tahoma"/>
            <family val="2"/>
          </rPr>
          <t xml:space="preserve">Blind Width          Maximum Cut Out Width
For 50mm/63mm PS/PS Privacy
222 - 254mm       50mm
255 - 379mm       75mm
 &gt; 380mm             130mm
</t>
        </r>
      </text>
    </comment>
    <comment ref="D28" authorId="0" shapeId="0" xr:uid="{140E2446-C70B-4491-A980-1F615E336E6C}">
      <text>
        <r>
          <rPr>
            <sz val="8"/>
            <color indexed="81"/>
            <rFont val="Tahoma"/>
            <family val="2"/>
          </rPr>
          <t>The Product options are;
50mm PS Blind
50mm PS Privacy Blind
63mm PS Blind
63mm PS Privacy Blind
50mm Timber Blind</t>
        </r>
      </text>
    </comment>
    <comment ref="E28" authorId="1" shapeId="0" xr:uid="{0EF89629-1404-40C1-9AAD-0154CEDCA39D}">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8" authorId="1" shapeId="0" xr:uid="{06122D4B-A3BA-4B02-87F6-3ED558947D6A}">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8" authorId="1" shapeId="0" xr:uid="{B9000307-B517-4DF0-BC90-3422027CBA40}">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8" authorId="1" shapeId="0" xr:uid="{2CFC7675-302B-4489-83CD-8071CDCE647B}">
      <text>
        <r>
          <rPr>
            <sz val="8"/>
            <color indexed="81"/>
            <rFont val="Tahoma"/>
            <family val="2"/>
          </rPr>
          <t>When selecting a
Corner or Bay 
Window Type, 
the CMB Corner WS 
or the 
CMB Bay WS 
must be completed please.</t>
        </r>
      </text>
    </comment>
    <comment ref="J28" authorId="1" shapeId="0" xr:uid="{DC2BA90F-F373-4C91-839A-A0B6A021B8EA}">
      <text>
        <r>
          <rPr>
            <sz val="8"/>
            <color indexed="81"/>
            <rFont val="Tahoma"/>
            <family val="2"/>
          </rPr>
          <t>ACT 
Actual Measurements
You have made the allowances.
NAM
No Allowances Made 
The factory will make the deductions.</t>
        </r>
      </text>
    </comment>
    <comment ref="L28" authorId="1" shapeId="0" xr:uid="{5C503D6F-3630-4C2B-B92E-19D96872AB0A}">
      <text>
        <r>
          <rPr>
            <sz val="8"/>
            <color indexed="81"/>
            <rFont val="Tahoma"/>
            <family val="2"/>
          </rPr>
          <t>The Cord Lock options are;
50mm PS Privacy Blind, 
63mm PS Blind &amp; 
63mm PS Privacy Blind;
Left
Right
50mm PS Blind &amp; 
50mm Timber Blind;
Left
Right
Cordless</t>
        </r>
      </text>
    </comment>
    <comment ref="M28" authorId="1" shapeId="0" xr:uid="{7F2663C1-447D-461D-840A-896F652F920B}">
      <text>
        <r>
          <rPr>
            <sz val="8"/>
            <color indexed="81"/>
            <rFont val="Tahoma"/>
            <family val="2"/>
          </rPr>
          <t>The Tilt options are;
For Cord Lock Left &amp; Right;
Left
Right
For Cordless;
Cordless Hook Wand Left
Cordless Hook Wand Right</t>
        </r>
      </text>
    </comment>
    <comment ref="O28" authorId="1" shapeId="0" xr:uid="{FDB6EBB2-70F7-4595-9675-7B18F7C0499C}">
      <text>
        <r>
          <rPr>
            <sz val="8"/>
            <color indexed="81"/>
            <rFont val="Tahoma"/>
            <family val="2"/>
          </rPr>
          <t>Standard is default.
Common Fascia is when the same Fascia 
is used for two Blinds.</t>
        </r>
      </text>
    </comment>
    <comment ref="Q28" authorId="1" shapeId="0" xr:uid="{C39E2D5E-D1DE-4F44-BB16-61F7E2376F46}">
      <text>
        <r>
          <rPr>
            <sz val="8"/>
            <color indexed="81"/>
            <rFont val="Tahoma"/>
            <family val="2"/>
          </rPr>
          <t>When left blank, 
no Cut Out applies.</t>
        </r>
      </text>
    </comment>
    <comment ref="S28" authorId="1" shapeId="0" xr:uid="{C9BDB940-41F3-46F5-8306-AC4290FB3C4F}">
      <text>
        <r>
          <rPr>
            <sz val="8"/>
            <color indexed="81"/>
            <rFont val="Tahoma"/>
            <family val="2"/>
          </rPr>
          <t>Blind Width          Maximum Cut Out Width
For 50mm/63mm PS/PS Privacy
222 - 254mm       50mm
255 - 379mm       75mm
 &gt; 380mm             130mm</t>
        </r>
      </text>
    </comment>
    <comment ref="U28" authorId="1" shapeId="0" xr:uid="{009CA987-DC78-4750-99CF-F015B0BE33AB}">
      <text>
        <r>
          <rPr>
            <sz val="8"/>
            <color indexed="81"/>
            <rFont val="Tahoma"/>
            <family val="2"/>
          </rPr>
          <t xml:space="preserve">Blind Width          Maximum Cut Out Width
For 50mm/63mm PS/PS Privacy
222 - 254mm       50mm
255 - 379mm       75mm
 &gt; 380mm             130mm
</t>
        </r>
      </text>
    </comment>
    <comment ref="D29" authorId="0" shapeId="0" xr:uid="{9ABE3544-FCDB-436D-AAB1-D01323E5CDAF}">
      <text>
        <r>
          <rPr>
            <sz val="8"/>
            <color indexed="81"/>
            <rFont val="Tahoma"/>
            <family val="2"/>
          </rPr>
          <t>The Product options are;
50mm PS Blind
50mm PS Privacy Blind
63mm PS Blind
63mm PS Privacy Blind
50mm Timber Blind</t>
        </r>
      </text>
    </comment>
    <comment ref="E29" authorId="1" shapeId="0" xr:uid="{A19B8B35-209B-4B9E-BBCA-32F506BCE76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9" authorId="1" shapeId="0" xr:uid="{16FD7F0B-C61D-47D7-9FB9-A219B2C3D0AE}">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9" authorId="1" shapeId="0" xr:uid="{3ED465EC-01A8-4395-97BA-BC52525FF7B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9" authorId="1" shapeId="0" xr:uid="{3D192C77-97F3-4647-8ED0-244DCDCA02BF}">
      <text>
        <r>
          <rPr>
            <sz val="8"/>
            <color indexed="81"/>
            <rFont val="Tahoma"/>
            <family val="2"/>
          </rPr>
          <t>When selecting a
Corner or Bay 
Window Type, 
the CMB Corner WS 
or the 
CMB Bay WS 
must be completed please.</t>
        </r>
      </text>
    </comment>
    <comment ref="J29" authorId="1" shapeId="0" xr:uid="{C0FD03F6-C743-4ED1-A012-49CA70797A3A}">
      <text>
        <r>
          <rPr>
            <sz val="8"/>
            <color indexed="81"/>
            <rFont val="Tahoma"/>
            <family val="2"/>
          </rPr>
          <t>ACT 
Actual Measurements
You have made the allowances.
NAM
No Allowances Made 
The factory will make the deductions.</t>
        </r>
      </text>
    </comment>
    <comment ref="L29" authorId="1" shapeId="0" xr:uid="{17286B38-CCAC-4FDA-889C-09A8ED140E03}">
      <text>
        <r>
          <rPr>
            <sz val="8"/>
            <color indexed="81"/>
            <rFont val="Tahoma"/>
            <family val="2"/>
          </rPr>
          <t>The Cord Lock options are;
50mm PS Privacy Blind, 
63mm PS Blind &amp; 
63mm PS Privacy Blind;
Left
Right
50mm PS Blind &amp; 
50mm Timber Blind;
Left
Right
Cordless</t>
        </r>
      </text>
    </comment>
    <comment ref="M29" authorId="1" shapeId="0" xr:uid="{1DE21467-0496-495F-811C-B7ABA976EBDE}">
      <text>
        <r>
          <rPr>
            <sz val="8"/>
            <color indexed="81"/>
            <rFont val="Tahoma"/>
            <family val="2"/>
          </rPr>
          <t>The Tilt options are;
For Cord Lock Left &amp; Right;
Left
Right
For Cordless;
Cordless Hook Wand Left
Cordless Hook Wand Right</t>
        </r>
      </text>
    </comment>
    <comment ref="O29" authorId="1" shapeId="0" xr:uid="{0270E9E0-16F7-43A2-B94D-498DEB30B1FD}">
      <text>
        <r>
          <rPr>
            <sz val="8"/>
            <color indexed="81"/>
            <rFont val="Tahoma"/>
            <family val="2"/>
          </rPr>
          <t>Standard is default.
Common Fascia is when the same Fascia 
is used for two Blinds.</t>
        </r>
      </text>
    </comment>
    <comment ref="Q29" authorId="1" shapeId="0" xr:uid="{75FB9B79-AB9A-46E5-BD7B-C6ECD73341E7}">
      <text>
        <r>
          <rPr>
            <sz val="8"/>
            <color indexed="81"/>
            <rFont val="Tahoma"/>
            <family val="2"/>
          </rPr>
          <t>When left blank, 
no Cut Out applies.</t>
        </r>
      </text>
    </comment>
    <comment ref="S29" authorId="1" shapeId="0" xr:uid="{92FCBE14-BE6A-4B12-A50D-3EC1B13B07F8}">
      <text>
        <r>
          <rPr>
            <sz val="8"/>
            <color indexed="81"/>
            <rFont val="Tahoma"/>
            <family val="2"/>
          </rPr>
          <t>Blind Width          Maximum Cut Out Width
For 50mm/63mm PS/PS Privacy
222 - 254mm       50mm
255 - 379mm       75mm
 &gt; 380mm             130mm</t>
        </r>
      </text>
    </comment>
    <comment ref="U29" authorId="1" shapeId="0" xr:uid="{58953C0D-1E31-499A-89F0-3709EC2E7745}">
      <text>
        <r>
          <rPr>
            <sz val="8"/>
            <color indexed="81"/>
            <rFont val="Tahoma"/>
            <family val="2"/>
          </rPr>
          <t xml:space="preserve">Blind Width          Maximum Cut Out Width
For 50mm/63mm PS/PS Privacy
222 - 254mm       50mm
255 - 379mm       75mm
 &gt; 380mm             130mm
</t>
        </r>
      </text>
    </comment>
    <comment ref="D30" authorId="0" shapeId="0" xr:uid="{A85BDC70-93D9-43C8-9794-BA79492CFEA5}">
      <text>
        <r>
          <rPr>
            <sz val="8"/>
            <color indexed="81"/>
            <rFont val="Tahoma"/>
            <family val="2"/>
          </rPr>
          <t>The Product options are;
50mm PS Blind
50mm PS Privacy Blind
63mm PS Blind
63mm PS Privacy Blind
50mm Timber Blind</t>
        </r>
      </text>
    </comment>
    <comment ref="E30" authorId="1" shapeId="0" xr:uid="{BFAF26D7-D1C0-43B9-B683-BE5234312778}">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0" authorId="1" shapeId="0" xr:uid="{E46690EA-3327-493D-8488-174998BB53F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0" authorId="1" shapeId="0" xr:uid="{844351AF-1F9D-4682-8411-F1A8AE2729CE}">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0" authorId="1" shapeId="0" xr:uid="{AADFD04A-CCAE-409B-A920-E9CC0C9CDA67}">
      <text>
        <r>
          <rPr>
            <sz val="8"/>
            <color indexed="81"/>
            <rFont val="Tahoma"/>
            <family val="2"/>
          </rPr>
          <t>When selecting a
Corner or Bay 
Window Type, 
the CMB Corner WS 
or the 
CMB Bay WS 
must be completed please.</t>
        </r>
      </text>
    </comment>
    <comment ref="J30" authorId="1" shapeId="0" xr:uid="{D5ACC0C8-C4DB-4FBB-A90F-4FBDAE1CE2BC}">
      <text>
        <r>
          <rPr>
            <sz val="8"/>
            <color indexed="81"/>
            <rFont val="Tahoma"/>
            <family val="2"/>
          </rPr>
          <t>ACT 
Actual Measurements
You have made the allowances.
NAM
No Allowances Made 
The factory will make the deductions.</t>
        </r>
      </text>
    </comment>
    <comment ref="L30" authorId="1" shapeId="0" xr:uid="{965032BB-ACB8-4EA8-BEFE-4995B5BD779B}">
      <text>
        <r>
          <rPr>
            <sz val="8"/>
            <color indexed="81"/>
            <rFont val="Tahoma"/>
            <family val="2"/>
          </rPr>
          <t>The Cord Lock options are;
50mm PS Privacy Blind, 
63mm PS Blind &amp; 
63mm PS Privacy Blind;
Left
Right
50mm PS Blind &amp; 
50mm Timber Blind;
Left
Right
Cordless</t>
        </r>
      </text>
    </comment>
    <comment ref="M30" authorId="1" shapeId="0" xr:uid="{DD3B66F8-95CC-4772-B7E9-59D5A5B21780}">
      <text>
        <r>
          <rPr>
            <sz val="8"/>
            <color indexed="81"/>
            <rFont val="Tahoma"/>
            <family val="2"/>
          </rPr>
          <t>The Tilt options are;
For Cord Lock Left &amp; Right;
Left
Right
For Cordless;
Cordless Hook Wand Left
Cordless Hook Wand Right</t>
        </r>
      </text>
    </comment>
    <comment ref="O30" authorId="1" shapeId="0" xr:uid="{CA9BD000-8306-4278-8954-0584F58CC357}">
      <text>
        <r>
          <rPr>
            <sz val="8"/>
            <color indexed="81"/>
            <rFont val="Tahoma"/>
            <family val="2"/>
          </rPr>
          <t>Standard is default.
Common Fascia is when the same Fascia 
is used for two Blinds.</t>
        </r>
      </text>
    </comment>
    <comment ref="Q30" authorId="1" shapeId="0" xr:uid="{09DAD150-1F52-47B1-956D-5CBF4B3745FF}">
      <text>
        <r>
          <rPr>
            <sz val="8"/>
            <color indexed="81"/>
            <rFont val="Tahoma"/>
            <family val="2"/>
          </rPr>
          <t>When left blank, 
no Cut Out applies.</t>
        </r>
      </text>
    </comment>
    <comment ref="S30" authorId="1" shapeId="0" xr:uid="{5EA74AF4-5A74-463A-9F47-EC6C3F9E2289}">
      <text>
        <r>
          <rPr>
            <sz val="8"/>
            <color indexed="81"/>
            <rFont val="Tahoma"/>
            <family val="2"/>
          </rPr>
          <t>Blind Width          Maximum Cut Out Width
For 50mm/63mm PS/PS Privacy
222 - 254mm       50mm
255 - 379mm       75mm
 &gt; 380mm             130mm</t>
        </r>
      </text>
    </comment>
    <comment ref="U30" authorId="1" shapeId="0" xr:uid="{8C7250B9-9F8A-4AA4-8395-ED8756403E82}">
      <text>
        <r>
          <rPr>
            <sz val="8"/>
            <color indexed="81"/>
            <rFont val="Tahoma"/>
            <family val="2"/>
          </rPr>
          <t xml:space="preserve">Blind Width          Maximum Cut Out Width
For 50mm/63mm PS/PS Privacy
222 - 254mm       50mm
255 - 379mm       75mm
 &gt; 380mm             130mm
</t>
        </r>
      </text>
    </comment>
    <comment ref="D31" authorId="0" shapeId="0" xr:uid="{9C984C8E-F8D0-4966-8E9B-8E462A55CC64}">
      <text>
        <r>
          <rPr>
            <sz val="8"/>
            <color indexed="81"/>
            <rFont val="Tahoma"/>
            <family val="2"/>
          </rPr>
          <t>The Product options are;
50mm PS Blind
50mm PS Privacy Blind
63mm PS Blind
63mm PS Privacy Blind
50mm Timber Blind</t>
        </r>
      </text>
    </comment>
    <comment ref="E31" authorId="1" shapeId="0" xr:uid="{ECE7CDD7-1601-4B0E-B16B-62B8C3E5FE00}">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1" authorId="1" shapeId="0" xr:uid="{D0936A26-8C19-42F4-851C-E17E356E5C0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1" authorId="1" shapeId="0" xr:uid="{3FBC2BF7-E576-468D-B0D0-42E366D0927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1" authorId="1" shapeId="0" xr:uid="{62AE614B-B8EE-46C1-AED3-C92C60D660E8}">
      <text>
        <r>
          <rPr>
            <sz val="8"/>
            <color indexed="81"/>
            <rFont val="Tahoma"/>
            <family val="2"/>
          </rPr>
          <t>When selecting a
Corner or Bay 
Window Type, 
the CMB Corner WS 
or the 
CMB Bay WS 
must be completed please.</t>
        </r>
      </text>
    </comment>
    <comment ref="J31" authorId="1" shapeId="0" xr:uid="{4AC58005-C6FB-4438-8E39-677ADE1D340F}">
      <text>
        <r>
          <rPr>
            <sz val="8"/>
            <color indexed="81"/>
            <rFont val="Tahoma"/>
            <family val="2"/>
          </rPr>
          <t>ACT 
Actual Measurements
You have made the allowances.
NAM
No Allowances Made 
The factory will make the deductions.</t>
        </r>
      </text>
    </comment>
    <comment ref="L31" authorId="1" shapeId="0" xr:uid="{C67B051D-37E3-48CB-AAFC-2BCD31A75027}">
      <text>
        <r>
          <rPr>
            <sz val="8"/>
            <color indexed="81"/>
            <rFont val="Tahoma"/>
            <family val="2"/>
          </rPr>
          <t>The Cord Lock options are;
50mm PS Privacy Blind, 
63mm PS Blind &amp; 
63mm PS Privacy Blind;
Left
Right
50mm PS Blind &amp; 
50mm Timber Blind;
Left
Right
Cordless</t>
        </r>
      </text>
    </comment>
    <comment ref="M31" authorId="1" shapeId="0" xr:uid="{76D2387D-8C89-47F6-9C29-358A5480EC7A}">
      <text>
        <r>
          <rPr>
            <sz val="8"/>
            <color indexed="81"/>
            <rFont val="Tahoma"/>
            <family val="2"/>
          </rPr>
          <t>The Tilt options are;
For Cord Lock Left &amp; Right;
Left
Right
For Cordless;
Cordless Hook Wand Left
Cordless Hook Wand Right</t>
        </r>
      </text>
    </comment>
    <comment ref="O31" authorId="1" shapeId="0" xr:uid="{C6BE7D80-1C44-4D70-8A41-6A0FBB114F70}">
      <text>
        <r>
          <rPr>
            <sz val="8"/>
            <color indexed="81"/>
            <rFont val="Tahoma"/>
            <family val="2"/>
          </rPr>
          <t>Standard is default.
Common Fascia is when the same Fascia 
is used for two Blinds.</t>
        </r>
      </text>
    </comment>
    <comment ref="Q31" authorId="1" shapeId="0" xr:uid="{3562FBA8-A697-4D94-909A-EAB639CBD1A5}">
      <text>
        <r>
          <rPr>
            <sz val="8"/>
            <color indexed="81"/>
            <rFont val="Tahoma"/>
            <family val="2"/>
          </rPr>
          <t>When left blank, 
no Cut Out applies.</t>
        </r>
      </text>
    </comment>
    <comment ref="S31" authorId="1" shapeId="0" xr:uid="{0AE60557-C7E8-440D-9F7B-A51EF6BF0A19}">
      <text>
        <r>
          <rPr>
            <sz val="8"/>
            <color indexed="81"/>
            <rFont val="Tahoma"/>
            <family val="2"/>
          </rPr>
          <t>Blind Width          Maximum Cut Out Width
For 50mm/63mm PS/PS Privacy
222 - 254mm       50mm
255 - 379mm       75mm
 &gt; 380mm             130mm</t>
        </r>
      </text>
    </comment>
    <comment ref="U31" authorId="1" shapeId="0" xr:uid="{BAAF03D3-544E-4B7E-B698-C2AE52EA70E7}">
      <text>
        <r>
          <rPr>
            <sz val="8"/>
            <color indexed="81"/>
            <rFont val="Tahoma"/>
            <family val="2"/>
          </rPr>
          <t xml:space="preserve">Blind Width          Maximum Cut Out Width
For 50mm/63mm PS/PS Privacy
222 - 254mm       50mm
255 - 379mm       75mm
 &gt; 380mm             130mm
</t>
        </r>
      </text>
    </comment>
    <comment ref="D32" authorId="0" shapeId="0" xr:uid="{CED6C56F-F5DF-4DDB-9FA3-BE8665850810}">
      <text>
        <r>
          <rPr>
            <sz val="8"/>
            <color indexed="81"/>
            <rFont val="Tahoma"/>
            <family val="2"/>
          </rPr>
          <t>The Product options are;
50mm PS Blind
50mm PS Privacy Blind
63mm PS Blind
63mm PS Privacy Blind
50mm Timber Blind</t>
        </r>
      </text>
    </comment>
    <comment ref="E32" authorId="1" shapeId="0" xr:uid="{95259CF2-A83C-4553-B186-2DBDC084691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2" authorId="1" shapeId="0" xr:uid="{03041766-1AB7-4523-9041-C093C16A6372}">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2" authorId="1" shapeId="0" xr:uid="{7C09E54A-B914-479C-B766-0A05B4C1E7A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2" authorId="1" shapeId="0" xr:uid="{38DF13A7-C7C3-48D9-8255-D1CA7BF9C0CC}">
      <text>
        <r>
          <rPr>
            <sz val="8"/>
            <color indexed="81"/>
            <rFont val="Tahoma"/>
            <family val="2"/>
          </rPr>
          <t>When selecting a
Corner or Bay 
Window Type, 
the CMB Corner WS 
or the 
CMB Bay WS 
must be completed please.</t>
        </r>
      </text>
    </comment>
    <comment ref="J32" authorId="1" shapeId="0" xr:uid="{AABD04DD-8801-4CD3-B0CF-4A0461D9A6A5}">
      <text>
        <r>
          <rPr>
            <sz val="8"/>
            <color indexed="81"/>
            <rFont val="Tahoma"/>
            <family val="2"/>
          </rPr>
          <t>ACT 
Actual Measurements
You have made the allowances.
NAM
No Allowances Made 
The factory will make the deductions.</t>
        </r>
      </text>
    </comment>
    <comment ref="L32" authorId="1" shapeId="0" xr:uid="{99A97050-C36E-424A-B9AE-AA46DB564263}">
      <text>
        <r>
          <rPr>
            <sz val="8"/>
            <color indexed="81"/>
            <rFont val="Tahoma"/>
            <family val="2"/>
          </rPr>
          <t>The Cord Lock options are;
50mm PS Privacy Blind, 
63mm PS Blind &amp; 
63mm PS Privacy Blind;
Left
Right
50mm PS Blind &amp; 
50mm Timber Blind;
Left
Right
Cordless</t>
        </r>
      </text>
    </comment>
    <comment ref="M32" authorId="1" shapeId="0" xr:uid="{11BE274B-44A4-4DFA-9651-A98A937FFCFA}">
      <text>
        <r>
          <rPr>
            <sz val="8"/>
            <color indexed="81"/>
            <rFont val="Tahoma"/>
            <family val="2"/>
          </rPr>
          <t>The Tilt options are;
For Cord Lock Left &amp; Right;
Left
Right
For Cordless;
Cordless Hook Wand Left
Cordless Hook Wand Right</t>
        </r>
      </text>
    </comment>
    <comment ref="O32" authorId="1" shapeId="0" xr:uid="{C4A30DAF-5C46-4224-B976-92E7AB6DED85}">
      <text>
        <r>
          <rPr>
            <sz val="8"/>
            <color indexed="81"/>
            <rFont val="Tahoma"/>
            <family val="2"/>
          </rPr>
          <t>Standard is default.
Common Fascia is when the same Fascia 
is used for two Blinds.</t>
        </r>
      </text>
    </comment>
    <comment ref="Q32" authorId="1" shapeId="0" xr:uid="{99125B93-5FD3-4E56-84D0-D974867BAED3}">
      <text>
        <r>
          <rPr>
            <sz val="8"/>
            <color indexed="81"/>
            <rFont val="Tahoma"/>
            <family val="2"/>
          </rPr>
          <t>When left blank, 
no Cut Out applies.</t>
        </r>
      </text>
    </comment>
    <comment ref="S32" authorId="1" shapeId="0" xr:uid="{9178D1E9-520C-495B-AAEA-1F1E1967EA16}">
      <text>
        <r>
          <rPr>
            <sz val="8"/>
            <color indexed="81"/>
            <rFont val="Tahoma"/>
            <family val="2"/>
          </rPr>
          <t>Blind Width          Maximum Cut Out Width
For 50mm/63mm PS/PS Privacy
222 - 254mm       50mm
255 - 379mm       75mm
 &gt; 380mm             130mm</t>
        </r>
      </text>
    </comment>
    <comment ref="U32" authorId="1" shapeId="0" xr:uid="{45E0DE52-90F4-4014-B586-F688F03528EC}">
      <text>
        <r>
          <rPr>
            <sz val="8"/>
            <color indexed="81"/>
            <rFont val="Tahoma"/>
            <family val="2"/>
          </rPr>
          <t xml:space="preserve">Blind Width          Maximum Cut Out Width
For 50mm/63mm PS/PS Privacy
222 - 254mm       50mm
255 - 379mm       75mm
 &gt; 380mm             130mm
</t>
        </r>
      </text>
    </comment>
    <comment ref="D33" authorId="0" shapeId="0" xr:uid="{08E3F78E-CF86-4294-B79D-7E3E0A1D9A76}">
      <text>
        <r>
          <rPr>
            <sz val="8"/>
            <color indexed="81"/>
            <rFont val="Tahoma"/>
            <family val="2"/>
          </rPr>
          <t>The Product options are;
50mm PS Blind
50mm PS Privacy Blind
63mm PS Blind
63mm PS Privacy Blind
50mm Timber Blind</t>
        </r>
      </text>
    </comment>
    <comment ref="E33" authorId="1" shapeId="0" xr:uid="{C6F093EB-7E5F-4092-83BA-C3F964F42C4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3" authorId="1" shapeId="0" xr:uid="{517A4132-523B-42D8-85BA-04EE8612B7E2}">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3" authorId="1" shapeId="0" xr:uid="{A079D96C-A51C-45D8-92E8-CB468EDDBE68}">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3" authorId="1" shapeId="0" xr:uid="{DB08213C-636A-491E-82E1-887409767425}">
      <text>
        <r>
          <rPr>
            <sz val="8"/>
            <color indexed="81"/>
            <rFont val="Tahoma"/>
            <family val="2"/>
          </rPr>
          <t>When selecting a
Corner or Bay 
Window Type, 
the CMB Corner WS 
or the 
CMB Bay WS 
must be completed please.</t>
        </r>
      </text>
    </comment>
    <comment ref="J33" authorId="1" shapeId="0" xr:uid="{ABD349E3-39EC-4191-968B-9796CBF54796}">
      <text>
        <r>
          <rPr>
            <sz val="8"/>
            <color indexed="81"/>
            <rFont val="Tahoma"/>
            <family val="2"/>
          </rPr>
          <t>ACT 
Actual Measurements
You have made the allowances.
NAM
No Allowances Made 
The factory will make the deductions.</t>
        </r>
      </text>
    </comment>
    <comment ref="L33" authorId="1" shapeId="0" xr:uid="{DB83B0A7-D6E4-4A41-984B-B4FD917A1E84}">
      <text>
        <r>
          <rPr>
            <sz val="8"/>
            <color indexed="81"/>
            <rFont val="Tahoma"/>
            <family val="2"/>
          </rPr>
          <t>The Cord Lock options are;
50mm PS Privacy Blind, 
63mm PS Blind &amp; 
63mm PS Privacy Blind;
Left
Right
50mm PS Blind &amp; 
50mm Timber Blind;
Left
Right
Cordless</t>
        </r>
      </text>
    </comment>
    <comment ref="M33" authorId="1" shapeId="0" xr:uid="{84DD50C6-D423-4B0D-AA14-2F0ACD85AFE0}">
      <text>
        <r>
          <rPr>
            <sz val="8"/>
            <color indexed="81"/>
            <rFont val="Tahoma"/>
            <family val="2"/>
          </rPr>
          <t>The Tilt options are;
For Cord Lock Left &amp; Right;
Left
Right
For Cordless;
Cordless Hook Wand Left
Cordless Hook Wand Right</t>
        </r>
      </text>
    </comment>
    <comment ref="O33" authorId="1" shapeId="0" xr:uid="{AC32FBF7-4E6B-4C8B-BC71-998877CF9CF6}">
      <text>
        <r>
          <rPr>
            <sz val="8"/>
            <color indexed="81"/>
            <rFont val="Tahoma"/>
            <family val="2"/>
          </rPr>
          <t>Standard is default.
Common Fascia is when the same Fascia 
is used for two Blinds.</t>
        </r>
      </text>
    </comment>
    <comment ref="Q33" authorId="1" shapeId="0" xr:uid="{3AC7DBBE-F6DB-4A91-ADDE-FAA5F4214601}">
      <text>
        <r>
          <rPr>
            <sz val="8"/>
            <color indexed="81"/>
            <rFont val="Tahoma"/>
            <family val="2"/>
          </rPr>
          <t>When left blank, 
no Cut Out applies.</t>
        </r>
      </text>
    </comment>
    <comment ref="S33" authorId="1" shapeId="0" xr:uid="{590A5E13-5E09-4DD3-B230-D1A42E2AA2E3}">
      <text>
        <r>
          <rPr>
            <sz val="8"/>
            <color indexed="81"/>
            <rFont val="Tahoma"/>
            <family val="2"/>
          </rPr>
          <t>Blind Width          Maximum Cut Out Width
For 50mm/63mm PS/PS Privacy
222 - 254mm       50mm
255 - 379mm       75mm
 &gt; 380mm             130mm</t>
        </r>
      </text>
    </comment>
    <comment ref="U33" authorId="1" shapeId="0" xr:uid="{AB91B835-9922-4B27-8B0E-3ED1FC6A6740}">
      <text>
        <r>
          <rPr>
            <sz val="8"/>
            <color indexed="81"/>
            <rFont val="Tahoma"/>
            <family val="2"/>
          </rPr>
          <t xml:space="preserve">Blind Width          Maximum Cut Out Width
For 50mm/63mm PS/PS Privacy
222 - 254mm       50mm
255 - 379mm       75mm
 &gt; 380mm             130mm
</t>
        </r>
      </text>
    </comment>
    <comment ref="D34" authorId="0" shapeId="0" xr:uid="{62DDBB84-6CE3-4F93-AE34-A5346F68D059}">
      <text>
        <r>
          <rPr>
            <sz val="8"/>
            <color indexed="81"/>
            <rFont val="Tahoma"/>
            <family val="2"/>
          </rPr>
          <t>The Product options are;
50mm PS Blind
50mm PS Privacy Blind
63mm PS Blind
63mm PS Privacy Blind
50mm Timber Blind</t>
        </r>
      </text>
    </comment>
    <comment ref="E34" authorId="1" shapeId="0" xr:uid="{BA10B5EE-AA92-4C98-8EA2-DACA4FA10C5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4" authorId="1" shapeId="0" xr:uid="{C4BEC979-1440-487D-A5A3-16E7CBC97E03}">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4" authorId="1" shapeId="0" xr:uid="{F68F1993-A20A-4D7C-ADA4-C15F5B359B62}">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4" authorId="1" shapeId="0" xr:uid="{6B0E2479-91F7-4C1F-A0E0-FA8E03C818F6}">
      <text>
        <r>
          <rPr>
            <sz val="8"/>
            <color indexed="81"/>
            <rFont val="Tahoma"/>
            <family val="2"/>
          </rPr>
          <t>When selecting a
Corner or Bay 
Window Type, 
the CMB Corner WS 
or the 
CMB Bay WS 
must be completed please.</t>
        </r>
      </text>
    </comment>
    <comment ref="J34" authorId="1" shapeId="0" xr:uid="{9719218B-CC69-4040-BF2D-22283B7F7B81}">
      <text>
        <r>
          <rPr>
            <sz val="8"/>
            <color indexed="81"/>
            <rFont val="Tahoma"/>
            <family val="2"/>
          </rPr>
          <t>ACT 
Actual Measurements
You have made the allowances.
NAM
No Allowances Made 
The factory will make the deductions.</t>
        </r>
      </text>
    </comment>
    <comment ref="L34" authorId="1" shapeId="0" xr:uid="{17646D31-BA13-46C7-B212-CD4E75FAF6C1}">
      <text>
        <r>
          <rPr>
            <sz val="8"/>
            <color indexed="81"/>
            <rFont val="Tahoma"/>
            <family val="2"/>
          </rPr>
          <t>The Cord Lock options are;
50mm PS Privacy Blind, 
63mm PS Blind &amp; 
63mm PS Privacy Blind;
Left
Right
50mm PS Blind &amp; 
50mm Timber Blind;
Left
Right
Cordless</t>
        </r>
      </text>
    </comment>
    <comment ref="M34" authorId="1" shapeId="0" xr:uid="{32A7B18C-42FE-41E5-9562-11C59C3D6CA7}">
      <text>
        <r>
          <rPr>
            <sz val="8"/>
            <color indexed="81"/>
            <rFont val="Tahoma"/>
            <family val="2"/>
          </rPr>
          <t>The Tilt options are;
For Cord Lock Left &amp; Right;
Left
Right
For Cordless;
Cordless Hook Wand Left
Cordless Hook Wand Right</t>
        </r>
      </text>
    </comment>
    <comment ref="O34" authorId="1" shapeId="0" xr:uid="{D331752D-1043-45C9-A35D-EB4534BC1382}">
      <text>
        <r>
          <rPr>
            <sz val="8"/>
            <color indexed="81"/>
            <rFont val="Tahoma"/>
            <family val="2"/>
          </rPr>
          <t>Standard is default.
Common Fascia is when the same Fascia 
is used for two Blinds.</t>
        </r>
      </text>
    </comment>
    <comment ref="Q34" authorId="1" shapeId="0" xr:uid="{A04FF092-7E0B-4F27-8970-7008BA2BDF36}">
      <text>
        <r>
          <rPr>
            <sz val="8"/>
            <color indexed="81"/>
            <rFont val="Tahoma"/>
            <family val="2"/>
          </rPr>
          <t>When left blank, 
no Cut Out applies.</t>
        </r>
      </text>
    </comment>
    <comment ref="S34" authorId="1" shapeId="0" xr:uid="{DB6FD190-EF4B-4043-AF9C-DC00530EC4E2}">
      <text>
        <r>
          <rPr>
            <sz val="8"/>
            <color indexed="81"/>
            <rFont val="Tahoma"/>
            <family val="2"/>
          </rPr>
          <t>Blind Width          Maximum Cut Out Width
For 50mm/63mm PS/PS Privacy
222 - 254mm       50mm
255 - 379mm       75mm
 &gt; 380mm             130mm</t>
        </r>
      </text>
    </comment>
    <comment ref="U34" authorId="1" shapeId="0" xr:uid="{C1B85038-D096-462D-A6A8-FA70A2E0126E}">
      <text>
        <r>
          <rPr>
            <sz val="8"/>
            <color indexed="81"/>
            <rFont val="Tahoma"/>
            <family val="2"/>
          </rPr>
          <t xml:space="preserve">Blind Width          Maximum Cut Out Width
For 50mm/63mm PS/PS Privacy
222 - 254mm       50mm
255 - 379mm       75mm
 &gt; 380mm             130mm
</t>
        </r>
      </text>
    </comment>
    <comment ref="D35" authorId="0" shapeId="0" xr:uid="{FF516973-7649-4927-B82B-3D9381CB3F82}">
      <text>
        <r>
          <rPr>
            <sz val="8"/>
            <color indexed="81"/>
            <rFont val="Tahoma"/>
            <family val="2"/>
          </rPr>
          <t>The Product options are;
50mm PS Blind
50mm PS Privacy Blind
63mm PS Blind
63mm PS Privacy Blind
50mm Timber Blind</t>
        </r>
      </text>
    </comment>
    <comment ref="E35" authorId="1" shapeId="0" xr:uid="{30B3A3E4-F7FC-4B05-82E2-4127421B252E}">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5" authorId="1" shapeId="0" xr:uid="{FEDFAB2B-B4E9-409D-8875-77EE23DF3F0F}">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5" authorId="1" shapeId="0" xr:uid="{530FC792-3228-4C50-BC35-3F42894F1EF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5" authorId="1" shapeId="0" xr:uid="{DA346C85-8BA5-40C8-B987-EA3419DA5D55}">
      <text>
        <r>
          <rPr>
            <sz val="8"/>
            <color indexed="81"/>
            <rFont val="Tahoma"/>
            <family val="2"/>
          </rPr>
          <t>When selecting a
Corner or Bay 
Window Type, 
the CMB Corner WS 
or the 
CMB Bay WS 
must be completed please.</t>
        </r>
      </text>
    </comment>
    <comment ref="J35" authorId="1" shapeId="0" xr:uid="{DFF1A421-76B7-4DFD-A553-EFB43602F2D3}">
      <text>
        <r>
          <rPr>
            <sz val="8"/>
            <color indexed="81"/>
            <rFont val="Tahoma"/>
            <family val="2"/>
          </rPr>
          <t>ACT 
Actual Measurements
You have made the allowances.
NAM
No Allowances Made 
The factory will make the deductions.</t>
        </r>
      </text>
    </comment>
    <comment ref="L35" authorId="1" shapeId="0" xr:uid="{349B9D09-4C7F-4097-8BDF-7403ADDAA31C}">
      <text>
        <r>
          <rPr>
            <sz val="8"/>
            <color indexed="81"/>
            <rFont val="Tahoma"/>
            <family val="2"/>
          </rPr>
          <t>The Cord Lock options are;
50mm PS Privacy Blind, 
63mm PS Blind &amp; 
63mm PS Privacy Blind;
Left
Right
50mm PS Blind &amp; 
50mm Timber Blind;
Left
Right
Cordless</t>
        </r>
      </text>
    </comment>
    <comment ref="M35" authorId="1" shapeId="0" xr:uid="{89D18C5F-15A6-4C04-B2ED-F8B44866645F}">
      <text>
        <r>
          <rPr>
            <sz val="8"/>
            <color indexed="81"/>
            <rFont val="Tahoma"/>
            <family val="2"/>
          </rPr>
          <t>The Tilt options are;
For Cord Lock Left &amp; Right;
Left
Right
For Cordless;
Cordless Hook Wand Left
Cordless Hook Wand Right</t>
        </r>
      </text>
    </comment>
    <comment ref="O35" authorId="1" shapeId="0" xr:uid="{5C86E498-50EF-4595-B597-D9CFD6F660BD}">
      <text>
        <r>
          <rPr>
            <sz val="8"/>
            <color indexed="81"/>
            <rFont val="Tahoma"/>
            <family val="2"/>
          </rPr>
          <t>Standard is default.
Common Fascia is when the same Fascia 
is used for two Blinds.</t>
        </r>
      </text>
    </comment>
    <comment ref="Q35" authorId="1" shapeId="0" xr:uid="{6E9B4985-E77A-4C21-B56F-0B39D8FF204B}">
      <text>
        <r>
          <rPr>
            <sz val="8"/>
            <color indexed="81"/>
            <rFont val="Tahoma"/>
            <family val="2"/>
          </rPr>
          <t>When left blank, 
no Cut Out applies.</t>
        </r>
      </text>
    </comment>
    <comment ref="S35" authorId="1" shapeId="0" xr:uid="{08B27E3E-9A12-4EE9-B5DE-F2A01B4E9839}">
      <text>
        <r>
          <rPr>
            <sz val="8"/>
            <color indexed="81"/>
            <rFont val="Tahoma"/>
            <family val="2"/>
          </rPr>
          <t>Blind Width          Maximum Cut Out Width
For 50mm/63mm PS/PS Privacy
222 - 254mm       50mm
255 - 379mm       75mm
 &gt; 380mm             130mm</t>
        </r>
      </text>
    </comment>
    <comment ref="U35" authorId="1" shapeId="0" xr:uid="{0E220B24-AAA5-4A77-B9B8-42865FF1F9CA}">
      <text>
        <r>
          <rPr>
            <sz val="8"/>
            <color indexed="81"/>
            <rFont val="Tahoma"/>
            <family val="2"/>
          </rPr>
          <t xml:space="preserve">Blind Width          Maximum Cut Out Width
For 50mm/63mm PS/PS Privacy
222 - 254mm       50mm
255 - 379mm       75mm
 &gt; 380mm             130mm
</t>
        </r>
      </text>
    </comment>
    <comment ref="D36" authorId="0" shapeId="0" xr:uid="{79A2D0BF-D0F7-40C0-8C3B-4FBCD6585502}">
      <text>
        <r>
          <rPr>
            <sz val="8"/>
            <color indexed="81"/>
            <rFont val="Tahoma"/>
            <family val="2"/>
          </rPr>
          <t>The Product options are;
50mm PS Blind
50mm PS Privacy Blind
63mm PS Blind
63mm PS Privacy Blind
50mm Timber Blind</t>
        </r>
      </text>
    </comment>
    <comment ref="E36" authorId="1" shapeId="0" xr:uid="{8A33B1AD-DE48-4D33-A9CC-4DD40DF239DB}">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6" authorId="1" shapeId="0" xr:uid="{A17E78FC-A4F6-48F8-9060-59460B91F8F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6" authorId="1" shapeId="0" xr:uid="{67C58EA5-262D-4D23-915B-9C8AFE79D195}">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6" authorId="1" shapeId="0" xr:uid="{4B16C9EB-A288-4122-9AEC-2200DF733415}">
      <text>
        <r>
          <rPr>
            <sz val="8"/>
            <color indexed="81"/>
            <rFont val="Tahoma"/>
            <family val="2"/>
          </rPr>
          <t>When selecting a
Corner or Bay 
Window Type, 
the CMB Corner WS 
or the 
CMB Bay WS 
must be completed please.</t>
        </r>
      </text>
    </comment>
    <comment ref="J36" authorId="1" shapeId="0" xr:uid="{689860CA-CB24-4B55-84A7-03F530C41AA1}">
      <text>
        <r>
          <rPr>
            <sz val="8"/>
            <color indexed="81"/>
            <rFont val="Tahoma"/>
            <family val="2"/>
          </rPr>
          <t>ACT 
Actual Measurements
You have made the allowances.
NAM
No Allowances Made 
The factory will make the deductions.</t>
        </r>
      </text>
    </comment>
    <comment ref="L36" authorId="1" shapeId="0" xr:uid="{D6E7DDB8-B801-4D38-BAE7-0FC570BE5141}">
      <text>
        <r>
          <rPr>
            <sz val="8"/>
            <color indexed="81"/>
            <rFont val="Tahoma"/>
            <family val="2"/>
          </rPr>
          <t>The Cord Lock options are;
50mm PS Privacy Blind, 
63mm PS Blind &amp; 
63mm PS Privacy Blind;
Left
Right
50mm PS Blind &amp; 
50mm Timber Blind;
Left
Right
Cordless</t>
        </r>
      </text>
    </comment>
    <comment ref="M36" authorId="1" shapeId="0" xr:uid="{780B3912-D96B-4B3A-A6F5-DB62FBC55083}">
      <text>
        <r>
          <rPr>
            <sz val="8"/>
            <color indexed="81"/>
            <rFont val="Tahoma"/>
            <family val="2"/>
          </rPr>
          <t>The Tilt options are;
For Cord Lock Left &amp; Right;
Left
Right
For Cordless;
Cordless Hook Wand Left
Cordless Hook Wand Right</t>
        </r>
      </text>
    </comment>
    <comment ref="O36" authorId="1" shapeId="0" xr:uid="{098E7FF3-F891-4F5E-AF5B-52272871CF6C}">
      <text>
        <r>
          <rPr>
            <sz val="8"/>
            <color indexed="81"/>
            <rFont val="Tahoma"/>
            <family val="2"/>
          </rPr>
          <t>Standard is default.
Common Fascia is when the same Fascia 
is used for two Blinds.</t>
        </r>
      </text>
    </comment>
    <comment ref="Q36" authorId="1" shapeId="0" xr:uid="{5171230A-9ED9-4E76-A444-75F520266C5D}">
      <text>
        <r>
          <rPr>
            <sz val="8"/>
            <color indexed="81"/>
            <rFont val="Tahoma"/>
            <family val="2"/>
          </rPr>
          <t>When left blank, 
no Cut Out applies.</t>
        </r>
      </text>
    </comment>
    <comment ref="S36" authorId="1" shapeId="0" xr:uid="{7699F1EE-510B-4A00-9FB2-0AE9E595608D}">
      <text>
        <r>
          <rPr>
            <sz val="8"/>
            <color indexed="81"/>
            <rFont val="Tahoma"/>
            <family val="2"/>
          </rPr>
          <t>Blind Width          Maximum Cut Out Width
For 50mm/63mm PS/PS Privacy
222 - 254mm       50mm
255 - 379mm       75mm
 &gt; 380mm             130mm</t>
        </r>
      </text>
    </comment>
    <comment ref="U36" authorId="1" shapeId="0" xr:uid="{CAC540C0-3614-4658-ADFC-EF7B9B69F612}">
      <text>
        <r>
          <rPr>
            <sz val="8"/>
            <color indexed="81"/>
            <rFont val="Tahoma"/>
            <family val="2"/>
          </rPr>
          <t xml:space="preserve">Blind Width          Maximum Cut Out Width
For 50mm/63mm PS/PS Privacy
222 - 254mm       50mm
255 - 379mm       75mm
 &gt; 380mm             130mm
</t>
        </r>
      </text>
    </comment>
    <comment ref="D37" authorId="0" shapeId="0" xr:uid="{4474BFED-8814-4262-8256-52D8FC08A359}">
      <text>
        <r>
          <rPr>
            <sz val="8"/>
            <color indexed="81"/>
            <rFont val="Tahoma"/>
            <family val="2"/>
          </rPr>
          <t>The Product options are;
50mm PS Blind
50mm PS Privacy Blind
63mm PS Blind
63mm PS Privacy Blind
50mm Timber Blind</t>
        </r>
      </text>
    </comment>
    <comment ref="E37" authorId="1" shapeId="0" xr:uid="{84572FBF-1C42-4A04-8BAF-BCF3459078FF}">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7" authorId="1" shapeId="0" xr:uid="{EA7B81BC-FF35-43EF-BA06-2BCCE335F08E}">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7" authorId="1" shapeId="0" xr:uid="{86BF1F0F-A622-40C9-A20B-9716D76D1196}">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7" authorId="1" shapeId="0" xr:uid="{042921F0-C501-4098-B156-A14D4DDDDF12}">
      <text>
        <r>
          <rPr>
            <sz val="8"/>
            <color indexed="81"/>
            <rFont val="Tahoma"/>
            <family val="2"/>
          </rPr>
          <t>When selecting a
Corner or Bay 
Window Type, 
the CMB Corner WS 
or the 
CMB Bay WS 
must be completed please.</t>
        </r>
      </text>
    </comment>
    <comment ref="J37" authorId="1" shapeId="0" xr:uid="{74F7B9E9-E4D6-440D-BC3D-276FB2CB0898}">
      <text>
        <r>
          <rPr>
            <sz val="8"/>
            <color indexed="81"/>
            <rFont val="Tahoma"/>
            <family val="2"/>
          </rPr>
          <t>ACT 
Actual Measurements
You have made the allowances.
NAM
No Allowances Made 
The factory will make the deductions.</t>
        </r>
      </text>
    </comment>
    <comment ref="L37" authorId="1" shapeId="0" xr:uid="{D5E05A5C-1389-4B1B-813A-0DDB3B20C310}">
      <text>
        <r>
          <rPr>
            <sz val="8"/>
            <color indexed="81"/>
            <rFont val="Tahoma"/>
            <family val="2"/>
          </rPr>
          <t>The Cord Lock options are;
50mm PS Privacy Blind, 
63mm PS Blind &amp; 
63mm PS Privacy Blind;
Left
Right
50mm PS Blind &amp; 
50mm Timber Blind;
Left
Right
Cordless</t>
        </r>
      </text>
    </comment>
    <comment ref="M37" authorId="1" shapeId="0" xr:uid="{02C81A6B-B4FE-4F04-A563-3BF22BD42578}">
      <text>
        <r>
          <rPr>
            <sz val="8"/>
            <color indexed="81"/>
            <rFont val="Tahoma"/>
            <family val="2"/>
          </rPr>
          <t>The Tilt options are;
For Cord Lock Left &amp; Right;
Left
Right
For Cordless;
Cordless Hook Wand Left
Cordless Hook Wand Right</t>
        </r>
      </text>
    </comment>
    <comment ref="O37" authorId="1" shapeId="0" xr:uid="{26E21171-5EB3-44A8-975D-314D57C90A06}">
      <text>
        <r>
          <rPr>
            <sz val="8"/>
            <color indexed="81"/>
            <rFont val="Tahoma"/>
            <family val="2"/>
          </rPr>
          <t>Standard is default.
Common Fascia is when the same Fascia 
is used for two Blinds.</t>
        </r>
      </text>
    </comment>
    <comment ref="Q37" authorId="1" shapeId="0" xr:uid="{0AF7B670-B3E1-4C0C-AAA3-24D381961124}">
      <text>
        <r>
          <rPr>
            <sz val="8"/>
            <color indexed="81"/>
            <rFont val="Tahoma"/>
            <family val="2"/>
          </rPr>
          <t>When left blank, 
no Cut Out applies.</t>
        </r>
      </text>
    </comment>
    <comment ref="S37" authorId="1" shapeId="0" xr:uid="{F626A2E5-944F-436D-9DBA-CD32994CBB9C}">
      <text>
        <r>
          <rPr>
            <sz val="8"/>
            <color indexed="81"/>
            <rFont val="Tahoma"/>
            <family val="2"/>
          </rPr>
          <t>Blind Width          Maximum Cut Out Width
For 50mm/63mm PS/PS Privacy
222 - 254mm       50mm
255 - 379mm       75mm
 &gt; 380mm             130mm</t>
        </r>
      </text>
    </comment>
    <comment ref="U37" authorId="1" shapeId="0" xr:uid="{A4A16703-2F66-47A5-A965-41CF58F2F188}">
      <text>
        <r>
          <rPr>
            <sz val="8"/>
            <color indexed="81"/>
            <rFont val="Tahoma"/>
            <family val="2"/>
          </rPr>
          <t xml:space="preserve">Blind Width          Maximum Cut Out Width
For 50mm/63mm PS/PS Privacy
222 - 254mm       50mm
255 - 379mm       75mm
 &gt; 380mm             130mm
</t>
        </r>
      </text>
    </comment>
    <comment ref="D38" authorId="0" shapeId="0" xr:uid="{99B9CE89-AB49-4D58-B0AE-C21D95A72DDD}">
      <text>
        <r>
          <rPr>
            <sz val="8"/>
            <color indexed="81"/>
            <rFont val="Tahoma"/>
            <family val="2"/>
          </rPr>
          <t>The Product options are;
50mm PS Blind
50mm PS Privacy Blind
63mm PS Blind
63mm PS Privacy Blind
50mm Timber Blind</t>
        </r>
      </text>
    </comment>
    <comment ref="E38" authorId="1" shapeId="0" xr:uid="{E44BE1D4-D768-41CF-97E5-7331AB2C375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8" authorId="1" shapeId="0" xr:uid="{F06EE771-7926-47F4-B616-6275B9F2A89B}">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8" authorId="1" shapeId="0" xr:uid="{6A4DF01E-5C75-474E-AD6A-BCF235B84A45}">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8" authorId="1" shapeId="0" xr:uid="{1E385CBD-1D33-4ED1-801F-FC05309D6E1C}">
      <text>
        <r>
          <rPr>
            <sz val="8"/>
            <color indexed="81"/>
            <rFont val="Tahoma"/>
            <family val="2"/>
          </rPr>
          <t>When selecting a
Corner or Bay 
Window Type, 
the CMB Corner WS 
or the 
CMB Bay WS 
must be completed please.</t>
        </r>
      </text>
    </comment>
    <comment ref="J38" authorId="1" shapeId="0" xr:uid="{97B91650-9B25-4E20-95B1-5988E8363BEB}">
      <text>
        <r>
          <rPr>
            <sz val="8"/>
            <color indexed="81"/>
            <rFont val="Tahoma"/>
            <family val="2"/>
          </rPr>
          <t>ACT 
Actual Measurements
You have made the allowances.
NAM
No Allowances Made 
The factory will make the deductions.</t>
        </r>
      </text>
    </comment>
    <comment ref="L38" authorId="1" shapeId="0" xr:uid="{9CCA448B-FECF-4853-8685-DFA3AB783DB6}">
      <text>
        <r>
          <rPr>
            <sz val="8"/>
            <color indexed="81"/>
            <rFont val="Tahoma"/>
            <family val="2"/>
          </rPr>
          <t>The Cord Lock options are;
50mm PS Privacy Blind, 
63mm PS Blind &amp; 
63mm PS Privacy Blind;
Left
Right
50mm PS Blind &amp; 
50mm Timber Blind;
Left
Right
Cordless</t>
        </r>
      </text>
    </comment>
    <comment ref="M38" authorId="1" shapeId="0" xr:uid="{35F1A7FB-20CE-4899-9F3D-EFD558F62476}">
      <text>
        <r>
          <rPr>
            <sz val="8"/>
            <color indexed="81"/>
            <rFont val="Tahoma"/>
            <family val="2"/>
          </rPr>
          <t>The Tilt options are;
For Cord Lock Left &amp; Right;
Left
Right
For Cordless;
Cordless Hook Wand Left
Cordless Hook Wand Right</t>
        </r>
      </text>
    </comment>
    <comment ref="O38" authorId="1" shapeId="0" xr:uid="{51C63402-9C30-4792-B0FE-4CDC00A883A5}">
      <text>
        <r>
          <rPr>
            <sz val="8"/>
            <color indexed="81"/>
            <rFont val="Tahoma"/>
            <family val="2"/>
          </rPr>
          <t>Standard is default.
Common Fascia is when the same Fascia 
is used for two Blinds.</t>
        </r>
      </text>
    </comment>
    <comment ref="Q38" authorId="1" shapeId="0" xr:uid="{621743D6-79F9-4084-8284-2C4D32B1510B}">
      <text>
        <r>
          <rPr>
            <sz val="8"/>
            <color indexed="81"/>
            <rFont val="Tahoma"/>
            <family val="2"/>
          </rPr>
          <t>When left blank, 
no Cut Out applies.</t>
        </r>
      </text>
    </comment>
    <comment ref="S38" authorId="1" shapeId="0" xr:uid="{363C8563-CDB9-482B-9C71-6770CF45238E}">
      <text>
        <r>
          <rPr>
            <sz val="8"/>
            <color indexed="81"/>
            <rFont val="Tahoma"/>
            <family val="2"/>
          </rPr>
          <t>Blind Width          Maximum Cut Out Width
For 50mm/63mm PS/PS Privacy
222 - 254mm       50mm
255 - 379mm       75mm
 &gt; 380mm             130mm</t>
        </r>
      </text>
    </comment>
    <comment ref="U38" authorId="1" shapeId="0" xr:uid="{4C71FD83-74EB-4C81-8420-D147E731CB85}">
      <text>
        <r>
          <rPr>
            <sz val="8"/>
            <color indexed="81"/>
            <rFont val="Tahoma"/>
            <family val="2"/>
          </rPr>
          <t xml:space="preserve">Blind Width          Maximum Cut Out Width
For 50mm/63mm PS/PS Privacy
222 - 254mm       50mm
255 - 379mm       75mm
 &gt; 380mm             130mm
</t>
        </r>
      </text>
    </comment>
    <comment ref="D39" authorId="0" shapeId="0" xr:uid="{E9E05DCF-7E0D-4249-A3C9-1C64CE2C5F80}">
      <text>
        <r>
          <rPr>
            <sz val="8"/>
            <color indexed="81"/>
            <rFont val="Tahoma"/>
            <family val="2"/>
          </rPr>
          <t>The Product options are;
50mm PS Blind
50mm PS Privacy Blind
63mm PS Blind
63mm PS Privacy Blind
50mm Timber Blind</t>
        </r>
      </text>
    </comment>
    <comment ref="E39" authorId="1" shapeId="0" xr:uid="{82108AFA-2DD4-4AE2-AA3D-0949048B95E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9" authorId="1" shapeId="0" xr:uid="{488EC676-7D79-498A-8B8C-B76D7A431F8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9" authorId="1" shapeId="0" xr:uid="{EECFC84C-38BB-47A5-9B33-01D847E34332}">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9" authorId="1" shapeId="0" xr:uid="{9452450D-5C37-4ABF-9E6E-2518986DC3B0}">
      <text>
        <r>
          <rPr>
            <sz val="8"/>
            <color indexed="81"/>
            <rFont val="Tahoma"/>
            <family val="2"/>
          </rPr>
          <t>When selecting a
Corner or Bay 
Window Type, 
the CMB Corner WS 
or the 
CMB Bay WS 
must be completed please.</t>
        </r>
      </text>
    </comment>
    <comment ref="J39" authorId="1" shapeId="0" xr:uid="{EF4508FA-6274-4BEC-9CD4-FB0BABF01486}">
      <text>
        <r>
          <rPr>
            <sz val="8"/>
            <color indexed="81"/>
            <rFont val="Tahoma"/>
            <family val="2"/>
          </rPr>
          <t>ACT 
Actual Measurements
You have made the allowances.
NAM
No Allowances Made 
The factory will make the deductions.</t>
        </r>
      </text>
    </comment>
    <comment ref="L39" authorId="1" shapeId="0" xr:uid="{BE8AE949-5DA2-4A32-80CC-D052C424FDF7}">
      <text>
        <r>
          <rPr>
            <sz val="8"/>
            <color indexed="81"/>
            <rFont val="Tahoma"/>
            <family val="2"/>
          </rPr>
          <t>The Cord Lock options are;
50mm PS Privacy Blind, 
63mm PS Blind &amp; 
63mm PS Privacy Blind;
Left
Right
50mm PS Blind &amp; 
50mm Timber Blind;
Left
Right
Cordless</t>
        </r>
      </text>
    </comment>
    <comment ref="M39" authorId="1" shapeId="0" xr:uid="{C39698E2-E640-4722-9139-1BDA987FE417}">
      <text>
        <r>
          <rPr>
            <sz val="8"/>
            <color indexed="81"/>
            <rFont val="Tahoma"/>
            <family val="2"/>
          </rPr>
          <t>The Tilt options are;
For Cord Lock Left &amp; Right;
Left
Right
For Cordless;
Cordless Hook Wand Left
Cordless Hook Wand Right</t>
        </r>
      </text>
    </comment>
    <comment ref="O39" authorId="1" shapeId="0" xr:uid="{28BD1C5F-4E73-4B9D-915C-134924E7BC04}">
      <text>
        <r>
          <rPr>
            <sz val="8"/>
            <color indexed="81"/>
            <rFont val="Tahoma"/>
            <family val="2"/>
          </rPr>
          <t>Standard is default.
Common Fascia is when the same Fascia 
is used for two Blinds.</t>
        </r>
      </text>
    </comment>
    <comment ref="Q39" authorId="1" shapeId="0" xr:uid="{74B08C58-CC8D-44E6-A0DF-2574CA82941A}">
      <text>
        <r>
          <rPr>
            <sz val="8"/>
            <color indexed="81"/>
            <rFont val="Tahoma"/>
            <family val="2"/>
          </rPr>
          <t>When left blank, 
no Cut Out applies.</t>
        </r>
      </text>
    </comment>
    <comment ref="S39" authorId="1" shapeId="0" xr:uid="{5F3EFC5D-06F2-4B74-B19B-7F71318CF8B5}">
      <text>
        <r>
          <rPr>
            <sz val="8"/>
            <color indexed="81"/>
            <rFont val="Tahoma"/>
            <family val="2"/>
          </rPr>
          <t>Blind Width          Maximum Cut Out Width
For 50mm/63mm PS/PS Privacy
222 - 254mm       50mm
255 - 379mm       75mm
 &gt; 380mm             130mm</t>
        </r>
      </text>
    </comment>
    <comment ref="U39" authorId="1" shapeId="0" xr:uid="{827C2578-6904-440F-B342-92EFFE7E7879}">
      <text>
        <r>
          <rPr>
            <sz val="8"/>
            <color indexed="81"/>
            <rFont val="Tahoma"/>
            <family val="2"/>
          </rPr>
          <t xml:space="preserve">Blind Width          Maximum Cut Out Width
For 50mm/63mm PS/PS Privacy
222 - 254mm       50mm
255 - 379mm       75mm
 &gt; 380mm             130mm
</t>
        </r>
      </text>
    </comment>
    <comment ref="D40" authorId="0" shapeId="0" xr:uid="{DC8A4EE3-68B7-4CF6-B83B-5658D5B95052}">
      <text>
        <r>
          <rPr>
            <sz val="8"/>
            <color indexed="81"/>
            <rFont val="Tahoma"/>
            <family val="2"/>
          </rPr>
          <t>The Product options are;
50mm PS Blind
50mm PS Privacy Blind
63mm PS Blind
63mm PS Privacy Blind
50mm Timber Blind</t>
        </r>
      </text>
    </comment>
    <comment ref="E40" authorId="1" shapeId="0" xr:uid="{33108FF1-D57B-465C-8327-7D0E6A301302}">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0" authorId="1" shapeId="0" xr:uid="{0E6FC26B-9E9A-4E30-AC58-0B328B52B79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0" authorId="1" shapeId="0" xr:uid="{9423B07E-95B6-4528-9334-435C706AECB5}">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0" authorId="1" shapeId="0" xr:uid="{09D584AB-50FA-435A-AC6B-041BB1B69984}">
      <text>
        <r>
          <rPr>
            <sz val="8"/>
            <color indexed="81"/>
            <rFont val="Tahoma"/>
            <family val="2"/>
          </rPr>
          <t>When selecting a
Corner or Bay 
Window Type, 
the CMB Corner WS 
or the 
CMB Bay WS 
must be completed please.</t>
        </r>
      </text>
    </comment>
    <comment ref="J40" authorId="1" shapeId="0" xr:uid="{C71EFB4E-1B7B-4F86-95F9-FEA972ABEDC1}">
      <text>
        <r>
          <rPr>
            <sz val="8"/>
            <color indexed="81"/>
            <rFont val="Tahoma"/>
            <family val="2"/>
          </rPr>
          <t>ACT 
Actual Measurements
You have made the allowances.
NAM
No Allowances Made 
The factory will make the deductions.</t>
        </r>
      </text>
    </comment>
    <comment ref="L40" authorId="1" shapeId="0" xr:uid="{E2A251D0-7AB3-44D4-B22A-D5B66DD665ED}">
      <text>
        <r>
          <rPr>
            <sz val="8"/>
            <color indexed="81"/>
            <rFont val="Tahoma"/>
            <family val="2"/>
          </rPr>
          <t>The Cord Lock options are;
50mm PS Privacy Blind, 
63mm PS Blind &amp; 
63mm PS Privacy Blind;
Left
Right
50mm PS Blind &amp; 
50mm Timber Blind;
Left
Right
Cordless</t>
        </r>
      </text>
    </comment>
    <comment ref="M40" authorId="1" shapeId="0" xr:uid="{CA624923-3002-4366-8AFB-754FE6423CF6}">
      <text>
        <r>
          <rPr>
            <sz val="8"/>
            <color indexed="81"/>
            <rFont val="Tahoma"/>
            <family val="2"/>
          </rPr>
          <t>The Tilt options are;
For Cord Lock Left &amp; Right;
Left
Right
For Cordless;
Cordless Hook Wand Left
Cordless Hook Wand Right</t>
        </r>
      </text>
    </comment>
    <comment ref="O40" authorId="1" shapeId="0" xr:uid="{34318571-AB10-4253-9717-EB5D8916720F}">
      <text>
        <r>
          <rPr>
            <sz val="8"/>
            <color indexed="81"/>
            <rFont val="Tahoma"/>
            <family val="2"/>
          </rPr>
          <t>Standard is default.
Common Fascia is when the same Fascia 
is used for two Blinds.</t>
        </r>
      </text>
    </comment>
    <comment ref="Q40" authorId="1" shapeId="0" xr:uid="{2F4009EE-499B-43FB-BC05-19CD70425EA0}">
      <text>
        <r>
          <rPr>
            <sz val="8"/>
            <color indexed="81"/>
            <rFont val="Tahoma"/>
            <family val="2"/>
          </rPr>
          <t>When left blank, 
no Cut Out applies.</t>
        </r>
      </text>
    </comment>
    <comment ref="S40" authorId="1" shapeId="0" xr:uid="{CE3628CA-4A3C-41D5-83FC-299A53ACA976}">
      <text>
        <r>
          <rPr>
            <sz val="8"/>
            <color indexed="81"/>
            <rFont val="Tahoma"/>
            <family val="2"/>
          </rPr>
          <t>Blind Width          Maximum Cut Out Width
For 50mm/63mm PS/PS Privacy
222 - 254mm       50mm
255 - 379mm       75mm
 &gt; 380mm             130mm</t>
        </r>
      </text>
    </comment>
    <comment ref="U40" authorId="1" shapeId="0" xr:uid="{33F9BEC0-0541-478E-9842-A9607D44AF9C}">
      <text>
        <r>
          <rPr>
            <sz val="8"/>
            <color indexed="81"/>
            <rFont val="Tahoma"/>
            <family val="2"/>
          </rPr>
          <t xml:space="preserve">Blind Width          Maximum Cut Out Width
For 50mm/63mm PS/PS Privacy
222 - 254mm       50mm
255 - 379mm       75mm
 &gt; 380mm             130mm
</t>
        </r>
      </text>
    </comment>
    <comment ref="D41" authorId="0" shapeId="0" xr:uid="{BD7EAD13-7BFC-42B2-B3DD-6A5E69259E3A}">
      <text>
        <r>
          <rPr>
            <sz val="8"/>
            <color indexed="81"/>
            <rFont val="Tahoma"/>
            <family val="2"/>
          </rPr>
          <t>The Product options are;
50mm PS Blind
50mm PS Privacy Blind
63mm PS Blind
63mm PS Privacy Blind
50mm Timber Blind</t>
        </r>
      </text>
    </comment>
    <comment ref="E41" authorId="1" shapeId="0" xr:uid="{F2200551-2414-4217-B8B6-8340E9AD8ECF}">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1" authorId="1" shapeId="0" xr:uid="{8302B175-D382-46A3-9C77-0D0BDD60C5E8}">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1" authorId="1" shapeId="0" xr:uid="{032CCF05-69E8-4B8F-AA0E-C8E159685241}">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1" authorId="1" shapeId="0" xr:uid="{C0626117-2F65-458B-BAFC-79646F736904}">
      <text>
        <r>
          <rPr>
            <sz val="8"/>
            <color indexed="81"/>
            <rFont val="Tahoma"/>
            <family val="2"/>
          </rPr>
          <t>When selecting a
Corner or Bay 
Window Type, 
the CMB Corner WS 
or the 
CMB Bay WS 
must be completed please.</t>
        </r>
      </text>
    </comment>
    <comment ref="J41" authorId="1" shapeId="0" xr:uid="{CC83B341-7B7D-4EEA-93A6-74245147708A}">
      <text>
        <r>
          <rPr>
            <sz val="8"/>
            <color indexed="81"/>
            <rFont val="Tahoma"/>
            <family val="2"/>
          </rPr>
          <t>ACT 
Actual Measurements
You have made the allowances.
NAM
No Allowances Made 
The factory will make the deductions.</t>
        </r>
      </text>
    </comment>
    <comment ref="L41" authorId="1" shapeId="0" xr:uid="{F65110E6-A9A8-4114-86EB-CB197900D0C0}">
      <text>
        <r>
          <rPr>
            <sz val="8"/>
            <color indexed="81"/>
            <rFont val="Tahoma"/>
            <family val="2"/>
          </rPr>
          <t>The Cord Lock options are;
50mm PS Privacy Blind, 
63mm PS Blind &amp; 
63mm PS Privacy Blind;
Left
Right
50mm PS Blind &amp; 
50mm Timber Blind;
Left
Right
Cordless</t>
        </r>
      </text>
    </comment>
    <comment ref="M41" authorId="1" shapeId="0" xr:uid="{2CBB20FC-7085-41BD-A0FD-0231E4339BFF}">
      <text>
        <r>
          <rPr>
            <sz val="8"/>
            <color indexed="81"/>
            <rFont val="Tahoma"/>
            <family val="2"/>
          </rPr>
          <t>The Tilt options are;
For Cord Lock Left &amp; Right;
Left
Right
For Cordless;
Cordless Hook Wand Left
Cordless Hook Wand Right</t>
        </r>
      </text>
    </comment>
    <comment ref="O41" authorId="1" shapeId="0" xr:uid="{A43D3249-730E-4DB3-8585-872C2AE597CF}">
      <text>
        <r>
          <rPr>
            <sz val="8"/>
            <color indexed="81"/>
            <rFont val="Tahoma"/>
            <family val="2"/>
          </rPr>
          <t>Standard is default.
Common Fascia is when the same Fascia 
is used for two Blinds.</t>
        </r>
      </text>
    </comment>
    <comment ref="Q41" authorId="1" shapeId="0" xr:uid="{68282876-2A2F-4FE9-A51F-6969064C496C}">
      <text>
        <r>
          <rPr>
            <sz val="8"/>
            <color indexed="81"/>
            <rFont val="Tahoma"/>
            <family val="2"/>
          </rPr>
          <t>When left blank, 
no Cut Out applies.</t>
        </r>
      </text>
    </comment>
    <comment ref="S41" authorId="1" shapeId="0" xr:uid="{A416B9F3-F69D-41E8-93FC-335F304D1541}">
      <text>
        <r>
          <rPr>
            <sz val="8"/>
            <color indexed="81"/>
            <rFont val="Tahoma"/>
            <family val="2"/>
          </rPr>
          <t>Blind Width          Maximum Cut Out Width
For 50mm/63mm PS/PS Privacy
222 - 254mm       50mm
255 - 379mm       75mm
 &gt; 380mm             130mm</t>
        </r>
      </text>
    </comment>
    <comment ref="U41" authorId="1" shapeId="0" xr:uid="{C810E38C-2519-40A1-9261-D91EAF4198C0}">
      <text>
        <r>
          <rPr>
            <sz val="8"/>
            <color indexed="81"/>
            <rFont val="Tahoma"/>
            <family val="2"/>
          </rPr>
          <t xml:space="preserve">Blind Width          Maximum Cut Out Width
For 50mm/63mm PS/PS Privacy
222 - 254mm       50mm
255 - 379mm       75mm
 &gt; 380mm             130mm
</t>
        </r>
      </text>
    </comment>
    <comment ref="D42" authorId="0" shapeId="0" xr:uid="{45D777AF-F498-4AAC-B864-4274CF9E42E3}">
      <text>
        <r>
          <rPr>
            <sz val="8"/>
            <color indexed="81"/>
            <rFont val="Tahoma"/>
            <family val="2"/>
          </rPr>
          <t>The Product options are;
50mm PS Blind
50mm PS Privacy Blind
63mm PS Blind
63mm PS Privacy Blind
50mm Timber Blind</t>
        </r>
      </text>
    </comment>
    <comment ref="E42" authorId="1" shapeId="0" xr:uid="{1C2C509E-39F8-4E7C-9774-12DF6A3BEBF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2" authorId="1" shapeId="0" xr:uid="{B9BA668A-76CC-4E3F-9A85-FA1F66B3AF91}">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2" authorId="1" shapeId="0" xr:uid="{CCC5126C-75F7-461A-AF82-890FCCD5C490}">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2" authorId="1" shapeId="0" xr:uid="{461B88CC-B471-4740-A73E-6759C14AB3C2}">
      <text>
        <r>
          <rPr>
            <sz val="8"/>
            <color indexed="81"/>
            <rFont val="Tahoma"/>
            <family val="2"/>
          </rPr>
          <t>When selecting a
Corner or Bay 
Window Type, 
the CMB Corner WS 
or the 
CMB Bay WS 
must be completed please.</t>
        </r>
      </text>
    </comment>
    <comment ref="J42" authorId="1" shapeId="0" xr:uid="{C1FF1769-8405-49EE-9E9A-8156FA2C67BE}">
      <text>
        <r>
          <rPr>
            <sz val="8"/>
            <color indexed="81"/>
            <rFont val="Tahoma"/>
            <family val="2"/>
          </rPr>
          <t>ACT 
Actual Measurements
You have made the allowances.
NAM
No Allowances Made 
The factory will make the deductions.</t>
        </r>
      </text>
    </comment>
    <comment ref="L42" authorId="1" shapeId="0" xr:uid="{95465120-7518-498E-BDA4-C668EBE3996E}">
      <text>
        <r>
          <rPr>
            <sz val="8"/>
            <color indexed="81"/>
            <rFont val="Tahoma"/>
            <family val="2"/>
          </rPr>
          <t>The Cord Lock options are;
50mm PS Privacy Blind, 
63mm PS Blind &amp; 
63mm PS Privacy Blind;
Left
Right
50mm PS Blind &amp; 
50mm Timber Blind;
Left
Right
Cordless</t>
        </r>
      </text>
    </comment>
    <comment ref="M42" authorId="1" shapeId="0" xr:uid="{5608DE90-8D71-435F-A86D-A85454943AB5}">
      <text>
        <r>
          <rPr>
            <sz val="8"/>
            <color indexed="81"/>
            <rFont val="Tahoma"/>
            <family val="2"/>
          </rPr>
          <t>The Tilt options are;
For Cord Lock Left &amp; Right;
Left
Right
For Cordless;
Cordless Hook Wand Left
Cordless Hook Wand Right</t>
        </r>
      </text>
    </comment>
    <comment ref="O42" authorId="1" shapeId="0" xr:uid="{4E5A349E-96C6-49AA-9377-AE92A988178A}">
      <text>
        <r>
          <rPr>
            <sz val="8"/>
            <color indexed="81"/>
            <rFont val="Tahoma"/>
            <family val="2"/>
          </rPr>
          <t>Standard is default.
Common Fascia is when the same Fascia 
is used for two Blinds.</t>
        </r>
      </text>
    </comment>
    <comment ref="Q42" authorId="1" shapeId="0" xr:uid="{3FC0DF35-F3C5-4840-8602-01A2A0243C1F}">
      <text>
        <r>
          <rPr>
            <sz val="8"/>
            <color indexed="81"/>
            <rFont val="Tahoma"/>
            <family val="2"/>
          </rPr>
          <t>When left blank, 
no Cut Out applies.</t>
        </r>
      </text>
    </comment>
    <comment ref="S42" authorId="1" shapeId="0" xr:uid="{A3BAF8F1-AC87-42FB-A639-B0F675CB4DC7}">
      <text>
        <r>
          <rPr>
            <sz val="8"/>
            <color indexed="81"/>
            <rFont val="Tahoma"/>
            <family val="2"/>
          </rPr>
          <t>Blind Width          Maximum Cut Out Width
For 50mm/63mm PS/PS Privacy
222 - 254mm       50mm
255 - 379mm       75mm
 &gt; 380mm             130mm</t>
        </r>
      </text>
    </comment>
    <comment ref="U42" authorId="1" shapeId="0" xr:uid="{2688828D-7639-4A93-8142-B1AA6C89E94D}">
      <text>
        <r>
          <rPr>
            <sz val="8"/>
            <color indexed="81"/>
            <rFont val="Tahoma"/>
            <family val="2"/>
          </rPr>
          <t xml:space="preserve">Blind Width          Maximum Cut Out Width
For 50mm/63mm PS/PS Privacy
222 - 254mm       50mm
255 - 379mm       75mm
 &gt; 380mm             130mm
</t>
        </r>
      </text>
    </comment>
    <comment ref="D43" authorId="0" shapeId="0" xr:uid="{AA6D6CC8-6974-4779-82BF-34F2698EADFD}">
      <text>
        <r>
          <rPr>
            <sz val="8"/>
            <color indexed="81"/>
            <rFont val="Tahoma"/>
            <family val="2"/>
          </rPr>
          <t>The Product options are;
50mm PS Blind
50mm PS Privacy Blind
63mm PS Blind
63mm PS Privacy Blind
50mm Timber Blind</t>
        </r>
      </text>
    </comment>
    <comment ref="E43" authorId="1" shapeId="0" xr:uid="{D8471E5F-D57D-4E44-A491-440FF718E455}">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3" authorId="1" shapeId="0" xr:uid="{8F31596A-5979-4F12-B60D-6453EF9BA4FB}">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3" authorId="1" shapeId="0" xr:uid="{0899076C-A397-4D0C-99DB-9AF0CD7FCC9E}">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3" authorId="1" shapeId="0" xr:uid="{534A2CF1-6C88-4EFB-9A00-794A0452D463}">
      <text>
        <r>
          <rPr>
            <sz val="8"/>
            <color indexed="81"/>
            <rFont val="Tahoma"/>
            <family val="2"/>
          </rPr>
          <t>When selecting a
Corner or Bay 
Window Type, 
the CMB Corner WS 
or the 
CMB Bay WS 
must be completed please.</t>
        </r>
      </text>
    </comment>
    <comment ref="J43" authorId="1" shapeId="0" xr:uid="{AEFB0DF4-91D0-4572-8151-10E7616159C5}">
      <text>
        <r>
          <rPr>
            <sz val="8"/>
            <color indexed="81"/>
            <rFont val="Tahoma"/>
            <family val="2"/>
          </rPr>
          <t>ACT 
Actual Measurements
You have made the allowances.
NAM
No Allowances Made 
The factory will make the deductions.</t>
        </r>
      </text>
    </comment>
    <comment ref="L43" authorId="1" shapeId="0" xr:uid="{D83E6906-1C1B-4672-B957-AA7CFD4B60C9}">
      <text>
        <r>
          <rPr>
            <sz val="8"/>
            <color indexed="81"/>
            <rFont val="Tahoma"/>
            <family val="2"/>
          </rPr>
          <t>The Cord Lock options are;
50mm PS Privacy Blind, 
63mm PS Blind &amp; 
63mm PS Privacy Blind;
Left
Right
50mm PS Blind &amp; 
50mm Timber Blind;
Left
Right
Cordless</t>
        </r>
      </text>
    </comment>
    <comment ref="M43" authorId="1" shapeId="0" xr:uid="{493A11CF-F93F-4FAA-93AB-04052AE41010}">
      <text>
        <r>
          <rPr>
            <sz val="8"/>
            <color indexed="81"/>
            <rFont val="Tahoma"/>
            <family val="2"/>
          </rPr>
          <t>The Tilt options are;
For Cord Lock Left &amp; Right;
Left
Right
For Cordless;
Cordless Hook Wand Left
Cordless Hook Wand Right</t>
        </r>
      </text>
    </comment>
    <comment ref="O43" authorId="1" shapeId="0" xr:uid="{4FFE1115-7AE1-4C38-8855-7DCDBFA8F468}">
      <text>
        <r>
          <rPr>
            <sz val="8"/>
            <color indexed="81"/>
            <rFont val="Tahoma"/>
            <family val="2"/>
          </rPr>
          <t>Standard is default.
Common Fascia is when the same Fascia 
is used for two Blinds.</t>
        </r>
      </text>
    </comment>
    <comment ref="Q43" authorId="1" shapeId="0" xr:uid="{9BA89C60-47BE-409D-B0A3-911ED4AD28E8}">
      <text>
        <r>
          <rPr>
            <sz val="8"/>
            <color indexed="81"/>
            <rFont val="Tahoma"/>
            <family val="2"/>
          </rPr>
          <t>When left blank, 
no Cut Out applies.</t>
        </r>
      </text>
    </comment>
    <comment ref="S43" authorId="1" shapeId="0" xr:uid="{5A66F582-A3A2-42EC-A1A6-FFBDA0421E9F}">
      <text>
        <r>
          <rPr>
            <sz val="8"/>
            <color indexed="81"/>
            <rFont val="Tahoma"/>
            <family val="2"/>
          </rPr>
          <t>Blind Width          Maximum Cut Out Width
For 50mm/63mm PS/PS Privacy
222 - 254mm       50mm
255 - 379mm       75mm
 &gt; 380mm             130mm</t>
        </r>
      </text>
    </comment>
    <comment ref="U43" authorId="1" shapeId="0" xr:uid="{773202D5-3235-4B6C-AEE7-2A240459D195}">
      <text>
        <r>
          <rPr>
            <sz val="8"/>
            <color indexed="81"/>
            <rFont val="Tahoma"/>
            <family val="2"/>
          </rPr>
          <t xml:space="preserve">Blind Width          Maximum Cut Out Width
For 50mm/63mm PS/PS Privacy
222 - 254mm       50mm
255 - 379mm       75mm
 &gt; 380mm             130mm
</t>
        </r>
      </text>
    </comment>
    <comment ref="D44" authorId="0" shapeId="0" xr:uid="{E2689C3C-019C-4B6F-B637-633B0AB6AF6E}">
      <text>
        <r>
          <rPr>
            <sz val="8"/>
            <color indexed="81"/>
            <rFont val="Tahoma"/>
            <family val="2"/>
          </rPr>
          <t>The Product options are;
50mm PS Blind
50mm PS Privacy Blind
63mm PS Blind
63mm PS Privacy Blind
50mm Timber Blind</t>
        </r>
      </text>
    </comment>
    <comment ref="E44" authorId="1" shapeId="0" xr:uid="{9EE06AD7-0C85-474A-897F-D4F0A5052D2A}">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4" authorId="1" shapeId="0" xr:uid="{44FB2D44-6582-45DB-83D5-086ADBB19FD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4" authorId="1" shapeId="0" xr:uid="{43A86AFD-629E-41CB-9DC6-01C6FE095D3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4" authorId="1" shapeId="0" xr:uid="{D4EC5A1C-8580-435A-9D8B-6D8E80C8D7AA}">
      <text>
        <r>
          <rPr>
            <sz val="8"/>
            <color indexed="81"/>
            <rFont val="Tahoma"/>
            <family val="2"/>
          </rPr>
          <t>When selecting a
Corner or Bay 
Window Type, 
the CMB Corner WS 
or the 
CMB Bay WS 
must be completed please.</t>
        </r>
      </text>
    </comment>
    <comment ref="J44" authorId="1" shapeId="0" xr:uid="{B3D19DBA-B2F9-45B5-996A-57E3611D4B2A}">
      <text>
        <r>
          <rPr>
            <sz val="8"/>
            <color indexed="81"/>
            <rFont val="Tahoma"/>
            <family val="2"/>
          </rPr>
          <t>ACT 
Actual Measurements
You have made the allowances.
NAM
No Allowances Made 
The factory will make the deductions.</t>
        </r>
      </text>
    </comment>
    <comment ref="L44" authorId="1" shapeId="0" xr:uid="{6CF11994-7274-4B86-80A9-A3374D83818B}">
      <text>
        <r>
          <rPr>
            <sz val="8"/>
            <color indexed="81"/>
            <rFont val="Tahoma"/>
            <family val="2"/>
          </rPr>
          <t>The Cord Lock options are;
50mm PS Privacy Blind, 
63mm PS Blind &amp; 
63mm PS Privacy Blind;
Left
Right
50mm PS Blind &amp; 
50mm Timber Blind;
Left
Right
Cordless</t>
        </r>
      </text>
    </comment>
    <comment ref="M44" authorId="1" shapeId="0" xr:uid="{EA87F4E0-98B8-4FFF-B47B-B88E743A4604}">
      <text>
        <r>
          <rPr>
            <sz val="8"/>
            <color indexed="81"/>
            <rFont val="Tahoma"/>
            <family val="2"/>
          </rPr>
          <t>The Tilt options are;
For Cord Lock Left &amp; Right;
Left
Right
For Cordless;
Cordless Hook Wand Left
Cordless Hook Wand Right</t>
        </r>
      </text>
    </comment>
    <comment ref="O44" authorId="1" shapeId="0" xr:uid="{A5D0FBEA-A986-4169-9DFC-E8D5E894DF0A}">
      <text>
        <r>
          <rPr>
            <sz val="8"/>
            <color indexed="81"/>
            <rFont val="Tahoma"/>
            <family val="2"/>
          </rPr>
          <t>Standard is default.
Common Fascia is when the same Fascia 
is used for two Blinds.</t>
        </r>
      </text>
    </comment>
    <comment ref="Q44" authorId="1" shapeId="0" xr:uid="{F1565164-0A99-4E07-B8ED-3D83048A1EF7}">
      <text>
        <r>
          <rPr>
            <sz val="8"/>
            <color indexed="81"/>
            <rFont val="Tahoma"/>
            <family val="2"/>
          </rPr>
          <t>When left blank, 
no Cut Out applies.</t>
        </r>
      </text>
    </comment>
    <comment ref="S44" authorId="1" shapeId="0" xr:uid="{47536593-A3F4-4604-BBB9-E4F2119F1B26}">
      <text>
        <r>
          <rPr>
            <sz val="8"/>
            <color indexed="81"/>
            <rFont val="Tahoma"/>
            <family val="2"/>
          </rPr>
          <t>Blind Width          Maximum Cut Out Width
For 50mm/63mm PS/PS Privacy
222 - 254mm       50mm
255 - 379mm       75mm
 &gt; 380mm             130mm</t>
        </r>
      </text>
    </comment>
    <comment ref="U44" authorId="1" shapeId="0" xr:uid="{2966345F-C7EF-4463-AE13-F94626BE4D25}">
      <text>
        <r>
          <rPr>
            <sz val="8"/>
            <color indexed="81"/>
            <rFont val="Tahoma"/>
            <family val="2"/>
          </rPr>
          <t xml:space="preserve">Blind Width          Maximum Cut Out Width
For 50mm/63mm PS/PS Privacy
222 - 254mm       50mm
255 - 379mm       75mm
 &gt; 380mm             130mm
</t>
        </r>
      </text>
    </comment>
    <comment ref="D45" authorId="0" shapeId="0" xr:uid="{BB819DFE-63C1-49E9-B640-156C85D6DB17}">
      <text>
        <r>
          <rPr>
            <sz val="8"/>
            <color indexed="81"/>
            <rFont val="Tahoma"/>
            <family val="2"/>
          </rPr>
          <t>The Product options are;
50mm PS Blind
50mm PS Privacy Blind
63mm PS Blind
63mm PS Privacy Blind
50mm Timber Blind</t>
        </r>
      </text>
    </comment>
    <comment ref="E45" authorId="1" shapeId="0" xr:uid="{5A17F821-7559-427A-A207-684DA746AAB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5" authorId="1" shapeId="0" xr:uid="{2C97A878-A746-489E-92C1-6CC914E7063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5" authorId="1" shapeId="0" xr:uid="{0791D695-5EB0-4346-AF76-ACB59AFE3796}">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5" authorId="1" shapeId="0" xr:uid="{8FACB231-E9E9-422A-9A39-235EBB41D723}">
      <text>
        <r>
          <rPr>
            <sz val="8"/>
            <color indexed="81"/>
            <rFont val="Tahoma"/>
            <family val="2"/>
          </rPr>
          <t>When selecting a
Corner or Bay 
Window Type, 
the CMB Corner WS 
or the 
CMB Bay WS 
must be completed please.</t>
        </r>
      </text>
    </comment>
    <comment ref="J45" authorId="1" shapeId="0" xr:uid="{3BAEB3E1-1D4E-4187-80F2-309A386F39B0}">
      <text>
        <r>
          <rPr>
            <sz val="8"/>
            <color indexed="81"/>
            <rFont val="Tahoma"/>
            <family val="2"/>
          </rPr>
          <t>ACT 
Actual Measurements
You have made the allowances.
NAM
No Allowances Made 
The factory will make the deductions.</t>
        </r>
      </text>
    </comment>
    <comment ref="L45" authorId="1" shapeId="0" xr:uid="{949FA9D9-869E-4329-AC21-65798151F5DA}">
      <text>
        <r>
          <rPr>
            <sz val="8"/>
            <color indexed="81"/>
            <rFont val="Tahoma"/>
            <family val="2"/>
          </rPr>
          <t>The Cord Lock options are;
50mm PS Privacy Blind, 
63mm PS Blind &amp; 
63mm PS Privacy Blind;
Left
Right
50mm PS Blind &amp; 
50mm Timber Blind;
Left
Right
Cordless</t>
        </r>
      </text>
    </comment>
    <comment ref="M45" authorId="1" shapeId="0" xr:uid="{8834469A-3B10-4873-8F6B-333484F3EFF3}">
      <text>
        <r>
          <rPr>
            <sz val="8"/>
            <color indexed="81"/>
            <rFont val="Tahoma"/>
            <family val="2"/>
          </rPr>
          <t>The Tilt options are;
For Cord Lock Left &amp; Right;
Left
Right
For Cordless;
Cordless Hook Wand Left
Cordless Hook Wand Right</t>
        </r>
      </text>
    </comment>
    <comment ref="O45" authorId="1" shapeId="0" xr:uid="{F5EC5780-34D9-4BF0-99FF-168291C69E7E}">
      <text>
        <r>
          <rPr>
            <sz val="8"/>
            <color indexed="81"/>
            <rFont val="Tahoma"/>
            <family val="2"/>
          </rPr>
          <t>Standard is default.
Common Fascia is when the same Fascia 
is used for two Blinds.</t>
        </r>
      </text>
    </comment>
    <comment ref="Q45" authorId="1" shapeId="0" xr:uid="{2436E87A-B5FD-40BC-9B1D-3C9E12E59E4A}">
      <text>
        <r>
          <rPr>
            <sz val="8"/>
            <color indexed="81"/>
            <rFont val="Tahoma"/>
            <family val="2"/>
          </rPr>
          <t>When left blank, 
no Cut Out applies.</t>
        </r>
      </text>
    </comment>
    <comment ref="S45" authorId="1" shapeId="0" xr:uid="{84A0F4AE-85CC-455E-B918-C767A0514281}">
      <text>
        <r>
          <rPr>
            <sz val="8"/>
            <color indexed="81"/>
            <rFont val="Tahoma"/>
            <family val="2"/>
          </rPr>
          <t>Blind Width          Maximum Cut Out Width
For 50mm/63mm PS/PS Privacy
222 - 254mm       50mm
255 - 379mm       75mm
 &gt; 380mm             130mm</t>
        </r>
      </text>
    </comment>
    <comment ref="U45" authorId="1" shapeId="0" xr:uid="{C5DF63F5-3785-4AB7-96A0-7FED45071D8E}">
      <text>
        <r>
          <rPr>
            <sz val="8"/>
            <color indexed="81"/>
            <rFont val="Tahoma"/>
            <family val="2"/>
          </rPr>
          <t xml:space="preserve">Blind Width          Maximum Cut Out Width
For 50mm/63mm PS/PS Privacy
222 - 254mm       50mm
255 - 379mm       75mm
 &gt; 380mm             130mm
</t>
        </r>
      </text>
    </comment>
    <comment ref="D46" authorId="0" shapeId="0" xr:uid="{20B244DA-5996-4167-A0BA-C9446E319F11}">
      <text>
        <r>
          <rPr>
            <sz val="8"/>
            <color indexed="81"/>
            <rFont val="Tahoma"/>
            <family val="2"/>
          </rPr>
          <t>The Product options are;
50mm PS Blind
50mm PS Privacy Blind
63mm PS Blind
63mm PS Privacy Blind
50mm Timber Blind</t>
        </r>
      </text>
    </comment>
    <comment ref="E46" authorId="1" shapeId="0" xr:uid="{D7DC032F-844A-4C5A-991A-965F4D5B42EA}">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6" authorId="1" shapeId="0" xr:uid="{FE78AB8F-4534-49F2-AECC-4C72F125345E}">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6" authorId="1" shapeId="0" xr:uid="{FB7E8502-A370-4614-AA27-503979D0072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6" authorId="1" shapeId="0" xr:uid="{7E5CE48B-05B9-43E3-9F31-1F786FD56F32}">
      <text>
        <r>
          <rPr>
            <sz val="8"/>
            <color indexed="81"/>
            <rFont val="Tahoma"/>
            <family val="2"/>
          </rPr>
          <t>When selecting a
Corner or Bay 
Window Type, 
the CMB Corner WS 
or the 
CMB Bay WS 
must be completed please.</t>
        </r>
      </text>
    </comment>
    <comment ref="J46" authorId="1" shapeId="0" xr:uid="{AA10E4F6-2C65-48F6-96D4-71FEEF10E8D2}">
      <text>
        <r>
          <rPr>
            <sz val="8"/>
            <color indexed="81"/>
            <rFont val="Tahoma"/>
            <family val="2"/>
          </rPr>
          <t>ACT 
Actual Measurements
You have made the allowances.
NAM
No Allowances Made 
The factory will make the deductions.</t>
        </r>
      </text>
    </comment>
    <comment ref="L46" authorId="1" shapeId="0" xr:uid="{D2FECBE7-9915-4655-A0E1-BC6D3848D1AD}">
      <text>
        <r>
          <rPr>
            <sz val="8"/>
            <color indexed="81"/>
            <rFont val="Tahoma"/>
            <family val="2"/>
          </rPr>
          <t>The Cord Lock options are;
50mm PS Privacy Blind, 
63mm PS Blind &amp; 
63mm PS Privacy Blind;
Left
Right
50mm PS Blind &amp; 
50mm Timber Blind;
Left
Right
Cordless</t>
        </r>
      </text>
    </comment>
    <comment ref="M46" authorId="1" shapeId="0" xr:uid="{61C2B367-F503-43CE-8EE7-8A84E60B00C6}">
      <text>
        <r>
          <rPr>
            <sz val="8"/>
            <color indexed="81"/>
            <rFont val="Tahoma"/>
            <family val="2"/>
          </rPr>
          <t>The Tilt options are;
For Cord Lock Left &amp; Right;
Left
Right
For Cordless;
Cordless Hook Wand Left
Cordless Hook Wand Right</t>
        </r>
      </text>
    </comment>
    <comment ref="O46" authorId="1" shapeId="0" xr:uid="{1A5DEC29-549C-4FDD-8428-B2CB82E8BC7C}">
      <text>
        <r>
          <rPr>
            <sz val="8"/>
            <color indexed="81"/>
            <rFont val="Tahoma"/>
            <family val="2"/>
          </rPr>
          <t>Standard is default.
Common Fascia is when the same Fascia 
is used for two Blinds.</t>
        </r>
      </text>
    </comment>
    <comment ref="Q46" authorId="1" shapeId="0" xr:uid="{F8FB1835-224B-4BBA-92F8-2000E13BD78C}">
      <text>
        <r>
          <rPr>
            <sz val="8"/>
            <color indexed="81"/>
            <rFont val="Tahoma"/>
            <family val="2"/>
          </rPr>
          <t>When left blank, 
no Cut Out applies.</t>
        </r>
      </text>
    </comment>
    <comment ref="S46" authorId="1" shapeId="0" xr:uid="{5C364B79-7483-4DE8-8AD6-02B6C27B6F20}">
      <text>
        <r>
          <rPr>
            <sz val="8"/>
            <color indexed="81"/>
            <rFont val="Tahoma"/>
            <family val="2"/>
          </rPr>
          <t>Blind Width          Maximum Cut Out Width
For 50mm/63mm PS/PS Privacy
222 - 254mm       50mm
255 - 379mm       75mm
 &gt; 380mm             130mm</t>
        </r>
      </text>
    </comment>
    <comment ref="U46" authorId="1" shapeId="0" xr:uid="{1D94376D-DC0F-4705-A7F0-E335EC539A6C}">
      <text>
        <r>
          <rPr>
            <sz val="8"/>
            <color indexed="81"/>
            <rFont val="Tahoma"/>
            <family val="2"/>
          </rPr>
          <t xml:space="preserve">Blind Width          Maximum Cut Out Width
For 50mm/63mm PS/PS Privacy
222 - 254mm       50mm
255 - 379mm       75mm
 &gt; 380mm             130mm
</t>
        </r>
      </text>
    </comment>
    <comment ref="D47" authorId="0" shapeId="0" xr:uid="{0E60BB82-26CD-4431-ADCA-214893083977}">
      <text>
        <r>
          <rPr>
            <sz val="8"/>
            <color indexed="81"/>
            <rFont val="Tahoma"/>
            <family val="2"/>
          </rPr>
          <t>The Product options are;
50mm PS Blind
50mm PS Privacy Blind
63mm PS Blind
63mm PS Privacy Blind
50mm Timber Blind</t>
        </r>
      </text>
    </comment>
    <comment ref="E47" authorId="1" shapeId="0" xr:uid="{21D7F61A-DE0F-4868-B6ED-E4BBBA4D69CC}">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7" authorId="1" shapeId="0" xr:uid="{5A5A47A7-D66A-4F12-8FE5-2FF30B9C5D79}">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7" authorId="1" shapeId="0" xr:uid="{64B87428-579E-4E59-8502-FBD9CF6AFE04}">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7" authorId="1" shapeId="0" xr:uid="{EB448343-FD07-4D0E-AAF6-361F5399CB44}">
      <text>
        <r>
          <rPr>
            <sz val="8"/>
            <color indexed="81"/>
            <rFont val="Tahoma"/>
            <family val="2"/>
          </rPr>
          <t>When selecting a
Corner or Bay 
Window Type, 
the CMB Corner WS 
or the 
CMB Bay WS 
must be completed please.</t>
        </r>
      </text>
    </comment>
    <comment ref="J47" authorId="1" shapeId="0" xr:uid="{37E46AB4-6AF6-4C26-80AE-3412E3800B17}">
      <text>
        <r>
          <rPr>
            <sz val="8"/>
            <color indexed="81"/>
            <rFont val="Tahoma"/>
            <family val="2"/>
          </rPr>
          <t>ACT 
Actual Measurements
You have made the allowances.
NAM
No Allowances Made 
The factory will make the deductions.</t>
        </r>
      </text>
    </comment>
    <comment ref="L47" authorId="1" shapeId="0" xr:uid="{F4DC249B-46F5-4535-BBEC-A708C3ED63B4}">
      <text>
        <r>
          <rPr>
            <sz val="8"/>
            <color indexed="81"/>
            <rFont val="Tahoma"/>
            <family val="2"/>
          </rPr>
          <t>The Cord Lock options are;
50mm PS Privacy Blind, 
63mm PS Blind &amp; 
63mm PS Privacy Blind;
Left
Right
50mm PS Blind &amp; 
50mm Timber Blind;
Left
Right
Cordless</t>
        </r>
      </text>
    </comment>
    <comment ref="M47" authorId="1" shapeId="0" xr:uid="{463E2F07-ABF7-49DE-97A7-32B7C524392B}">
      <text>
        <r>
          <rPr>
            <sz val="8"/>
            <color indexed="81"/>
            <rFont val="Tahoma"/>
            <family val="2"/>
          </rPr>
          <t>The Tilt options are;
For Cord Lock Left &amp; Right;
Left
Right
For Cordless;
Cordless Hook Wand Left
Cordless Hook Wand Right</t>
        </r>
      </text>
    </comment>
    <comment ref="O47" authorId="1" shapeId="0" xr:uid="{1907A912-BC38-4E52-896D-C8F1F983799A}">
      <text>
        <r>
          <rPr>
            <sz val="8"/>
            <color indexed="81"/>
            <rFont val="Tahoma"/>
            <family val="2"/>
          </rPr>
          <t>Standard is default.
Common Fascia is when the same Fascia 
is used for two Blinds.</t>
        </r>
      </text>
    </comment>
    <comment ref="Q47" authorId="1" shapeId="0" xr:uid="{156A08E2-F08E-46C7-AE5D-0A8869AA9F0C}">
      <text>
        <r>
          <rPr>
            <sz val="8"/>
            <color indexed="81"/>
            <rFont val="Tahoma"/>
            <family val="2"/>
          </rPr>
          <t>When left blank, 
no Cut Out applies.</t>
        </r>
      </text>
    </comment>
    <comment ref="S47" authorId="1" shapeId="0" xr:uid="{801D551F-C192-4B89-99A8-CE98C1A8FEA2}">
      <text>
        <r>
          <rPr>
            <sz val="8"/>
            <color indexed="81"/>
            <rFont val="Tahoma"/>
            <family val="2"/>
          </rPr>
          <t>Blind Width          Maximum Cut Out Width
For 50mm/63mm PS/PS Privacy
222 - 254mm       50mm
255 - 379mm       75mm
 &gt; 380mm             130mm</t>
        </r>
      </text>
    </comment>
    <comment ref="U47" authorId="1" shapeId="0" xr:uid="{033BC1CD-BFDF-429A-8AC6-EBA424ED2686}">
      <text>
        <r>
          <rPr>
            <sz val="8"/>
            <color indexed="81"/>
            <rFont val="Tahoma"/>
            <family val="2"/>
          </rPr>
          <t xml:space="preserve">Blind Width          Maximum Cut Out Width
For 50mm/63mm PS/PS Privacy
222 - 254mm       50mm
255 - 379mm       75mm
 &gt; 380mm             130mm
</t>
        </r>
      </text>
    </comment>
    <comment ref="D48" authorId="0" shapeId="0" xr:uid="{9B86FD08-A5B6-4D3B-B04A-7757FF19A93F}">
      <text>
        <r>
          <rPr>
            <sz val="8"/>
            <color indexed="81"/>
            <rFont val="Tahoma"/>
            <family val="2"/>
          </rPr>
          <t>The Product options are;
50mm PS Blind
50mm PS Privacy Blind
63mm PS Blind
63mm PS Privacy Blind
50mm Timber Blind</t>
        </r>
      </text>
    </comment>
    <comment ref="E48" authorId="1" shapeId="0" xr:uid="{D1E9C8CA-8E64-49AC-A29D-8EB50A94605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8" authorId="1" shapeId="0" xr:uid="{CA76F2BB-2426-4078-8BF5-CA3B61EFC0C4}">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8" authorId="1" shapeId="0" xr:uid="{B5524761-5B9C-46B0-A8E5-C59D0ACC13CF}">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8" authorId="1" shapeId="0" xr:uid="{186E2331-62C1-4E4C-8921-350A86E1A2E7}">
      <text>
        <r>
          <rPr>
            <sz val="8"/>
            <color indexed="81"/>
            <rFont val="Tahoma"/>
            <family val="2"/>
          </rPr>
          <t>When selecting a
Corner or Bay 
Window Type, 
the CMB Corner WS 
or the 
CMB Bay WS 
must be completed please.</t>
        </r>
      </text>
    </comment>
    <comment ref="J48" authorId="1" shapeId="0" xr:uid="{F674AC24-1E25-424D-A4D6-0789A3353D4D}">
      <text>
        <r>
          <rPr>
            <sz val="8"/>
            <color indexed="81"/>
            <rFont val="Tahoma"/>
            <family val="2"/>
          </rPr>
          <t>ACT 
Actual Measurements
You have made the allowances.
NAM
No Allowances Made 
The factory will make the deductions.</t>
        </r>
      </text>
    </comment>
    <comment ref="L48" authorId="1" shapeId="0" xr:uid="{F79046B1-8B2F-438A-AEAB-23299110FA42}">
      <text>
        <r>
          <rPr>
            <sz val="8"/>
            <color indexed="81"/>
            <rFont val="Tahoma"/>
            <family val="2"/>
          </rPr>
          <t>The Cord Lock options are;
50mm PS Privacy Blind, 
63mm PS Blind &amp; 
63mm PS Privacy Blind;
Left
Right
50mm PS Blind &amp; 
50mm Timber Blind;
Left
Right
Cordless</t>
        </r>
      </text>
    </comment>
    <comment ref="M48" authorId="1" shapeId="0" xr:uid="{6A0DFD6F-4BA7-43E4-932D-501D10BB14A4}">
      <text>
        <r>
          <rPr>
            <sz val="8"/>
            <color indexed="81"/>
            <rFont val="Tahoma"/>
            <family val="2"/>
          </rPr>
          <t>The Tilt options are;
For Cord Lock Left &amp; Right;
Left
Right
For Cordless;
Cordless Hook Wand Left
Cordless Hook Wand Right</t>
        </r>
      </text>
    </comment>
    <comment ref="O48" authorId="1" shapeId="0" xr:uid="{4131B003-4B91-4281-9CD8-C5BCE793875C}">
      <text>
        <r>
          <rPr>
            <sz val="8"/>
            <color indexed="81"/>
            <rFont val="Tahoma"/>
            <family val="2"/>
          </rPr>
          <t>Standard is default.
Common Fascia is when the same Fascia 
is used for two Blinds.</t>
        </r>
      </text>
    </comment>
    <comment ref="Q48" authorId="1" shapeId="0" xr:uid="{12259637-0534-4823-8BD0-5D330C193912}">
      <text>
        <r>
          <rPr>
            <sz val="8"/>
            <color indexed="81"/>
            <rFont val="Tahoma"/>
            <family val="2"/>
          </rPr>
          <t>When left blank, 
no Cut Out applies.</t>
        </r>
      </text>
    </comment>
    <comment ref="S48" authorId="1" shapeId="0" xr:uid="{7B6477EF-4C84-4117-8289-4FE7C3F6E42D}">
      <text>
        <r>
          <rPr>
            <sz val="8"/>
            <color indexed="81"/>
            <rFont val="Tahoma"/>
            <family val="2"/>
          </rPr>
          <t>Blind Width          Maximum Cut Out Width
For 50mm/63mm PS/PS Privacy
222 - 254mm       50mm
255 - 379mm       75mm
 &gt; 380mm             130mm</t>
        </r>
      </text>
    </comment>
    <comment ref="U48" authorId="1" shapeId="0" xr:uid="{2DF8E76C-F5CA-4A4C-BA4F-29315B204633}">
      <text>
        <r>
          <rPr>
            <sz val="8"/>
            <color indexed="81"/>
            <rFont val="Tahoma"/>
            <family val="2"/>
          </rPr>
          <t xml:space="preserve">Blind Width          Maximum Cut Out Width
For 50mm/63mm PS/PS Privacy
222 - 254mm       50mm
255 - 379mm       75mm
 &gt; 380mm             130mm
</t>
        </r>
      </text>
    </comment>
    <comment ref="D49" authorId="0" shapeId="0" xr:uid="{9A2F2193-8F8E-4418-B826-160F75EADCA4}">
      <text>
        <r>
          <rPr>
            <sz val="8"/>
            <color indexed="81"/>
            <rFont val="Tahoma"/>
            <family val="2"/>
          </rPr>
          <t>The Product options are;
50mm PS Blind
50mm PS Privacy Blind
63mm PS Blind
63mm PS Privacy Blind
50mm Timber Blind</t>
        </r>
      </text>
    </comment>
    <comment ref="E49" authorId="1" shapeId="0" xr:uid="{26826F75-CE16-405B-BC7B-717289908075}">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9" authorId="1" shapeId="0" xr:uid="{76892801-92C7-4E1E-B7DA-D1B2DA83C4B0}">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9" authorId="1" shapeId="0" xr:uid="{967F55CC-E700-4E5C-B28F-C3AB3989C1D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9" authorId="1" shapeId="0" xr:uid="{8822F43D-4CBB-41EB-B576-1D3423B1A275}">
      <text>
        <r>
          <rPr>
            <sz val="8"/>
            <color indexed="81"/>
            <rFont val="Tahoma"/>
            <family val="2"/>
          </rPr>
          <t>When selecting a
Corner or Bay 
Window Type, 
the CMB Corner WS 
or the 
CMB Bay WS 
must be completed please.</t>
        </r>
      </text>
    </comment>
    <comment ref="J49" authorId="1" shapeId="0" xr:uid="{B6AA0935-C451-4ADB-AF60-2EC4BCE6CC02}">
      <text>
        <r>
          <rPr>
            <sz val="8"/>
            <color indexed="81"/>
            <rFont val="Tahoma"/>
            <family val="2"/>
          </rPr>
          <t>ACT 
Actual Measurements
You have made the allowances.
NAM
No Allowances Made 
The factory will make the deductions.</t>
        </r>
      </text>
    </comment>
    <comment ref="L49" authorId="1" shapeId="0" xr:uid="{95270248-CD13-40D2-A588-03EA49C1236D}">
      <text>
        <r>
          <rPr>
            <sz val="8"/>
            <color indexed="81"/>
            <rFont val="Tahoma"/>
            <family val="2"/>
          </rPr>
          <t>The Cord Lock options are;
50mm PS Privacy Blind, 
63mm PS Blind &amp; 
63mm PS Privacy Blind;
Left
Right
50mm PS Blind &amp; 
50mm Timber Blind;
Left
Right
Cordless</t>
        </r>
      </text>
    </comment>
    <comment ref="M49" authorId="1" shapeId="0" xr:uid="{D8F285FC-3EA4-4B76-9754-B8D6F746A798}">
      <text>
        <r>
          <rPr>
            <sz val="8"/>
            <color indexed="81"/>
            <rFont val="Tahoma"/>
            <family val="2"/>
          </rPr>
          <t>The Tilt options are;
For Cord Lock Left &amp; Right;
Left
Right
For Cordless;
Cordless Hook Wand Left
Cordless Hook Wand Right</t>
        </r>
      </text>
    </comment>
    <comment ref="O49" authorId="1" shapeId="0" xr:uid="{B2440640-52D5-4AD1-B676-2B4227BDC327}">
      <text>
        <r>
          <rPr>
            <sz val="8"/>
            <color indexed="81"/>
            <rFont val="Tahoma"/>
            <family val="2"/>
          </rPr>
          <t>Standard is default.
Common Fascia is when the same Fascia 
is used for two Blinds.</t>
        </r>
      </text>
    </comment>
    <comment ref="Q49" authorId="1" shapeId="0" xr:uid="{55B9EA9D-2883-4093-810F-069145ED79DE}">
      <text>
        <r>
          <rPr>
            <sz val="8"/>
            <color indexed="81"/>
            <rFont val="Tahoma"/>
            <family val="2"/>
          </rPr>
          <t>When left blank, 
no Cut Out applies.</t>
        </r>
      </text>
    </comment>
    <comment ref="S49" authorId="1" shapeId="0" xr:uid="{611C297F-2916-4E38-A47C-F684025A6E81}">
      <text>
        <r>
          <rPr>
            <sz val="8"/>
            <color indexed="81"/>
            <rFont val="Tahoma"/>
            <family val="2"/>
          </rPr>
          <t>Blind Width          Maximum Cut Out Width
For 50mm/63mm PS/PS Privacy
222 - 254mm       50mm
255 - 379mm       75mm
 &gt; 380mm             130mm</t>
        </r>
      </text>
    </comment>
    <comment ref="U49" authorId="1" shapeId="0" xr:uid="{2227C8B9-2FC5-44AA-9379-99126FBF3FA6}">
      <text>
        <r>
          <rPr>
            <sz val="8"/>
            <color indexed="81"/>
            <rFont val="Tahoma"/>
            <family val="2"/>
          </rPr>
          <t xml:space="preserve">Blind Width          Maximum Cut Out Width
For 50mm/63mm PS/PS Privacy
222 - 254mm       50mm
255 - 379mm       75mm
 &gt; 380mm             130mm
</t>
        </r>
      </text>
    </comment>
    <comment ref="D50" authorId="0" shapeId="0" xr:uid="{C02A5057-D6C0-4088-B7C6-70647B2B983E}">
      <text>
        <r>
          <rPr>
            <sz val="8"/>
            <color indexed="81"/>
            <rFont val="Tahoma"/>
            <family val="2"/>
          </rPr>
          <t>The Product options are;
50mm PS Blind
50mm PS Privacy Blind
63mm PS Blind
63mm PS Privacy Blind
50mm Timber Blind</t>
        </r>
      </text>
    </comment>
    <comment ref="E50" authorId="1" shapeId="0" xr:uid="{0BB85BE1-2A37-444C-A71F-80326AC2535C}">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0" authorId="1" shapeId="0" xr:uid="{18834E81-E0B1-4C83-9E4E-122A92717993}">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0" authorId="1" shapeId="0" xr:uid="{C59C7785-17A8-4294-8122-7DFD1A9C584A}">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0" authorId="1" shapeId="0" xr:uid="{B1B5A960-3E23-4DC1-8E91-D8DCB447A54A}">
      <text>
        <r>
          <rPr>
            <sz val="8"/>
            <color indexed="81"/>
            <rFont val="Tahoma"/>
            <family val="2"/>
          </rPr>
          <t>When selecting a
Corner or Bay 
Window Type, 
the CMB Corner WS 
or the 
CMB Bay WS 
must be completed please.</t>
        </r>
      </text>
    </comment>
    <comment ref="J50" authorId="1" shapeId="0" xr:uid="{3539F058-D442-4C0E-B5B8-A27111037775}">
      <text>
        <r>
          <rPr>
            <sz val="8"/>
            <color indexed="81"/>
            <rFont val="Tahoma"/>
            <family val="2"/>
          </rPr>
          <t>ACT 
Actual Measurements
You have made the allowances.
NAM
No Allowances Made 
The factory will make the deductions.</t>
        </r>
      </text>
    </comment>
    <comment ref="L50" authorId="1" shapeId="0" xr:uid="{11A17CEE-8EE1-4ECD-8E0F-738CDF16DFE4}">
      <text>
        <r>
          <rPr>
            <sz val="8"/>
            <color indexed="81"/>
            <rFont val="Tahoma"/>
            <family val="2"/>
          </rPr>
          <t>The Cord Lock options are;
50mm PS Privacy Blind, 
63mm PS Blind &amp; 
63mm PS Privacy Blind;
Left
Right
50mm PS Blind &amp; 
50mm Timber Blind;
Left
Right
Cordless</t>
        </r>
      </text>
    </comment>
    <comment ref="M50" authorId="1" shapeId="0" xr:uid="{4FA62291-7441-41FB-9379-49260AFD086E}">
      <text>
        <r>
          <rPr>
            <sz val="8"/>
            <color indexed="81"/>
            <rFont val="Tahoma"/>
            <family val="2"/>
          </rPr>
          <t>The Tilt options are;
For Cord Lock Left &amp; Right;
Left
Right
For Cordless;
Cordless Hook Wand Left
Cordless Hook Wand Right</t>
        </r>
      </text>
    </comment>
    <comment ref="O50" authorId="1" shapeId="0" xr:uid="{8DD231D2-AC14-4D10-AEB6-FBF4912343EC}">
      <text>
        <r>
          <rPr>
            <sz val="8"/>
            <color indexed="81"/>
            <rFont val="Tahoma"/>
            <family val="2"/>
          </rPr>
          <t>Standard is default.
Common Fascia is when the same Fascia 
is used for two Blinds.</t>
        </r>
      </text>
    </comment>
    <comment ref="Q50" authorId="1" shapeId="0" xr:uid="{D7D0F26A-BEFC-4F3E-88D4-366DF41F4E44}">
      <text>
        <r>
          <rPr>
            <sz val="8"/>
            <color indexed="81"/>
            <rFont val="Tahoma"/>
            <family val="2"/>
          </rPr>
          <t>When left blank, 
no Cut Out applies.</t>
        </r>
      </text>
    </comment>
    <comment ref="S50" authorId="1" shapeId="0" xr:uid="{A2D634FA-DB0A-40F3-923F-833C9D9EE7A9}">
      <text>
        <r>
          <rPr>
            <sz val="8"/>
            <color indexed="81"/>
            <rFont val="Tahoma"/>
            <family val="2"/>
          </rPr>
          <t>Blind Width          Maximum Cut Out Width
For 50mm/63mm PS/PS Privacy
222 - 254mm       50mm
255 - 379mm       75mm
 &gt; 380mm             130mm</t>
        </r>
      </text>
    </comment>
    <comment ref="U50" authorId="1" shapeId="0" xr:uid="{64783D5E-56F3-40CA-85B3-A1858FE19AA5}">
      <text>
        <r>
          <rPr>
            <sz val="8"/>
            <color indexed="81"/>
            <rFont val="Tahoma"/>
            <family val="2"/>
          </rPr>
          <t xml:space="preserve">Blind Width          Maximum Cut Out Width
For 50mm/63mm PS/PS Privacy
222 - 254mm       50mm
255 - 379mm       75mm
 &gt; 380mm             130mm
</t>
        </r>
      </text>
    </comment>
    <comment ref="D51" authorId="0" shapeId="0" xr:uid="{0D2707C5-7AF5-49F0-99FD-D21EED621A01}">
      <text>
        <r>
          <rPr>
            <sz val="8"/>
            <color indexed="81"/>
            <rFont val="Tahoma"/>
            <family val="2"/>
          </rPr>
          <t>The Product options are;
50mm PS Blind
50mm PS Privacy Blind
63mm PS Blind
63mm PS Privacy Blind
50mm Timber Blind</t>
        </r>
      </text>
    </comment>
    <comment ref="E51" authorId="1" shapeId="0" xr:uid="{200352CC-B289-411D-9486-634C83182678}">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1" authorId="1" shapeId="0" xr:uid="{BF12FE36-3B14-4AAE-AEB3-9E5C2F9983C1}">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1" authorId="1" shapeId="0" xr:uid="{2D0D5729-79EA-4CB0-AE44-BFB91957D1D7}">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1" authorId="1" shapeId="0" xr:uid="{B228C533-2A90-4C93-A238-BD153AA31D41}">
      <text>
        <r>
          <rPr>
            <sz val="8"/>
            <color indexed="81"/>
            <rFont val="Tahoma"/>
            <family val="2"/>
          </rPr>
          <t>When selecting a
Corner or Bay 
Window Type, 
the CMB Corner WS 
or the 
CMB Bay WS 
must be completed please.</t>
        </r>
      </text>
    </comment>
    <comment ref="J51" authorId="1" shapeId="0" xr:uid="{02ADD2E2-B440-4E58-9B0E-A3883C39AE4C}">
      <text>
        <r>
          <rPr>
            <sz val="8"/>
            <color indexed="81"/>
            <rFont val="Tahoma"/>
            <family val="2"/>
          </rPr>
          <t>ACT 
Actual Measurements
You have made the allowances.
NAM
No Allowances Made 
The factory will make the deductions.</t>
        </r>
      </text>
    </comment>
    <comment ref="L51" authorId="1" shapeId="0" xr:uid="{20D125B6-474D-4F88-BCF9-09F74BCBFB60}">
      <text>
        <r>
          <rPr>
            <sz val="8"/>
            <color indexed="81"/>
            <rFont val="Tahoma"/>
            <family val="2"/>
          </rPr>
          <t>The Cord Lock options are;
50mm PS Privacy Blind, 
63mm PS Blind &amp; 
63mm PS Privacy Blind;
Left
Right
50mm PS Blind &amp; 
50mm Timber Blind;
Left
Right
Cordless</t>
        </r>
      </text>
    </comment>
    <comment ref="M51" authorId="1" shapeId="0" xr:uid="{EAF8012C-D8FD-4D9C-AA38-50B5E9CF6E3A}">
      <text>
        <r>
          <rPr>
            <sz val="8"/>
            <color indexed="81"/>
            <rFont val="Tahoma"/>
            <family val="2"/>
          </rPr>
          <t>The Tilt options are;
For Cord Lock Left &amp; Right;
Left
Right
For Cordless;
Cordless Hook Wand Left
Cordless Hook Wand Right</t>
        </r>
      </text>
    </comment>
    <comment ref="O51" authorId="1" shapeId="0" xr:uid="{5880F72C-4F74-44FE-B5BA-51BDB0C0F700}">
      <text>
        <r>
          <rPr>
            <sz val="8"/>
            <color indexed="81"/>
            <rFont val="Tahoma"/>
            <family val="2"/>
          </rPr>
          <t>Standard is default.
Common Fascia is when the same Fascia 
is used for two Blinds.</t>
        </r>
      </text>
    </comment>
    <comment ref="Q51" authorId="1" shapeId="0" xr:uid="{ADDC3C0C-80C4-4371-8954-3A810C7AAFAF}">
      <text>
        <r>
          <rPr>
            <sz val="8"/>
            <color indexed="81"/>
            <rFont val="Tahoma"/>
            <family val="2"/>
          </rPr>
          <t>When left blank, 
no Cut Out applies.</t>
        </r>
      </text>
    </comment>
    <comment ref="S51" authorId="1" shapeId="0" xr:uid="{552AA645-D4EE-4C75-88B8-7A009B6FE440}">
      <text>
        <r>
          <rPr>
            <sz val="8"/>
            <color indexed="81"/>
            <rFont val="Tahoma"/>
            <family val="2"/>
          </rPr>
          <t>Blind Width          Maximum Cut Out Width
For 50mm/63mm PS/PS Privacy
222 - 254mm       50mm
255 - 379mm       75mm
 &gt; 380mm             130mm</t>
        </r>
      </text>
    </comment>
    <comment ref="U51" authorId="1" shapeId="0" xr:uid="{A682BC3A-5079-47EE-9B06-382DFC45E640}">
      <text>
        <r>
          <rPr>
            <sz val="8"/>
            <color indexed="81"/>
            <rFont val="Tahoma"/>
            <family val="2"/>
          </rPr>
          <t xml:space="preserve">Blind Width          Maximum Cut Out Width
For 50mm/63mm PS/PS Privacy
222 - 254mm       50mm
255 - 379mm       75mm
 &gt; 380mm             130mm
</t>
        </r>
      </text>
    </comment>
    <comment ref="D52" authorId="0" shapeId="0" xr:uid="{E2D655CB-FCFC-4A44-A48A-6166DE70DAE4}">
      <text>
        <r>
          <rPr>
            <sz val="8"/>
            <color indexed="81"/>
            <rFont val="Tahoma"/>
            <family val="2"/>
          </rPr>
          <t>The Product options are;
50mm PS Blind
50mm PS Privacy Blind
63mm PS Blind
63mm PS Privacy Blind
50mm Timber Blind</t>
        </r>
      </text>
    </comment>
    <comment ref="E52" authorId="1" shapeId="0" xr:uid="{CF691CEC-9022-4046-AB6B-EABF9282BE1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2" authorId="1" shapeId="0" xr:uid="{932CEC2D-619F-4344-897E-F46FB6C53610}">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2" authorId="1" shapeId="0" xr:uid="{DD82D403-44CD-48E3-A18B-E7257BF03D3C}">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2" authorId="1" shapeId="0" xr:uid="{3378A225-859A-40C0-BBBE-9EFF1CF1ECB7}">
      <text>
        <r>
          <rPr>
            <sz val="8"/>
            <color indexed="81"/>
            <rFont val="Tahoma"/>
            <family val="2"/>
          </rPr>
          <t>When selecting a
Corner or Bay 
Window Type, 
the CMB Corner WS 
or the 
CMB Bay WS 
must be completed please.</t>
        </r>
      </text>
    </comment>
    <comment ref="J52" authorId="1" shapeId="0" xr:uid="{997DF8BD-C74A-4928-9274-08C90ACA811D}">
      <text>
        <r>
          <rPr>
            <sz val="8"/>
            <color indexed="81"/>
            <rFont val="Tahoma"/>
            <family val="2"/>
          </rPr>
          <t>ACT 
Actual Measurements
You have made the allowances.
NAM
No Allowances Made 
The factory will make the deductions.</t>
        </r>
      </text>
    </comment>
    <comment ref="L52" authorId="1" shapeId="0" xr:uid="{70614215-468B-4823-A816-05A924FFB8AF}">
      <text>
        <r>
          <rPr>
            <sz val="8"/>
            <color indexed="81"/>
            <rFont val="Tahoma"/>
            <family val="2"/>
          </rPr>
          <t>The Cord Lock options are;
50mm PS Privacy Blind, 
63mm PS Blind &amp; 
63mm PS Privacy Blind;
Left
Right
50mm PS Blind &amp; 
50mm Timber Blind;
Left
Right
Cordless</t>
        </r>
      </text>
    </comment>
    <comment ref="M52" authorId="1" shapeId="0" xr:uid="{4FCDDB93-C127-4A9D-A79F-94652C3EDD57}">
      <text>
        <r>
          <rPr>
            <sz val="8"/>
            <color indexed="81"/>
            <rFont val="Tahoma"/>
            <family val="2"/>
          </rPr>
          <t>The Tilt options are;
For Cord Lock Left &amp; Right;
Left
Right
For Cordless;
Cordless Hook Wand Left
Cordless Hook Wand Right</t>
        </r>
      </text>
    </comment>
    <comment ref="O52" authorId="1" shapeId="0" xr:uid="{19EF69E2-778B-4EEE-A555-94368CA19B90}">
      <text>
        <r>
          <rPr>
            <sz val="8"/>
            <color indexed="81"/>
            <rFont val="Tahoma"/>
            <family val="2"/>
          </rPr>
          <t>Standard is default.
Common Fascia is when the same Fascia 
is used for two Blinds.</t>
        </r>
      </text>
    </comment>
    <comment ref="Q52" authorId="1" shapeId="0" xr:uid="{719C2572-20E3-44D9-AF5C-178A868C1523}">
      <text>
        <r>
          <rPr>
            <sz val="8"/>
            <color indexed="81"/>
            <rFont val="Tahoma"/>
            <family val="2"/>
          </rPr>
          <t>When left blank, 
no Cut Out applies.</t>
        </r>
      </text>
    </comment>
    <comment ref="S52" authorId="1" shapeId="0" xr:uid="{F67FBA83-376A-48C8-9996-A1752D1A5159}">
      <text>
        <r>
          <rPr>
            <sz val="8"/>
            <color indexed="81"/>
            <rFont val="Tahoma"/>
            <family val="2"/>
          </rPr>
          <t>Blind Width          Maximum Cut Out Width
For 50mm/63mm PS/PS Privacy
222 - 254mm       50mm
255 - 379mm       75mm
 &gt; 380mm             130mm</t>
        </r>
      </text>
    </comment>
    <comment ref="U52" authorId="1" shapeId="0" xr:uid="{111A728F-8D38-4F59-8B74-2A2AC7339A57}">
      <text>
        <r>
          <rPr>
            <sz val="8"/>
            <color indexed="81"/>
            <rFont val="Tahoma"/>
            <family val="2"/>
          </rPr>
          <t xml:space="preserve">Blind Width          Maximum Cut Out Width
For 50mm/63mm PS/PS Privacy
222 - 254mm       50mm
255 - 379mm       75mm
 &gt; 380mm             130mm
</t>
        </r>
      </text>
    </comment>
    <comment ref="D53" authorId="0" shapeId="0" xr:uid="{C0864408-7461-4E99-9DF6-8CAC3C99DC5F}">
      <text>
        <r>
          <rPr>
            <sz val="8"/>
            <color indexed="81"/>
            <rFont val="Tahoma"/>
            <family val="2"/>
          </rPr>
          <t>The Product options are;
50mm PS Blind
50mm PS Privacy Blind
63mm PS Blind
63mm PS Privacy Blind
50mm Timber Blind</t>
        </r>
      </text>
    </comment>
    <comment ref="E53" authorId="1" shapeId="0" xr:uid="{B48AD1FE-D985-41A7-B6D5-7A687393B39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3" authorId="1" shapeId="0" xr:uid="{CA9DF662-B33E-4F81-9B62-F6018A08B832}">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3" authorId="1" shapeId="0" xr:uid="{14028B90-5EA8-4A97-9D4E-3E3571154081}">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3" authorId="1" shapeId="0" xr:uid="{D94BA586-2AF0-4D4D-A5EA-68E8A2625F40}">
      <text>
        <r>
          <rPr>
            <sz val="8"/>
            <color indexed="81"/>
            <rFont val="Tahoma"/>
            <family val="2"/>
          </rPr>
          <t>When selecting a
Corner or Bay 
Window Type, 
the CMB Corner WS 
or the 
CMB Bay WS 
must be completed please.</t>
        </r>
      </text>
    </comment>
    <comment ref="J53" authorId="1" shapeId="0" xr:uid="{D6622A9D-7FAE-4D88-8F1F-067FE30EE8CF}">
      <text>
        <r>
          <rPr>
            <sz val="8"/>
            <color indexed="81"/>
            <rFont val="Tahoma"/>
            <family val="2"/>
          </rPr>
          <t>ACT 
Actual Measurements
You have made the allowances.
NAM
No Allowances Made 
The factory will make the deductions.</t>
        </r>
      </text>
    </comment>
    <comment ref="L53" authorId="1" shapeId="0" xr:uid="{69710779-820B-4803-B160-29F653D9BCE0}">
      <text>
        <r>
          <rPr>
            <sz val="8"/>
            <color indexed="81"/>
            <rFont val="Tahoma"/>
            <family val="2"/>
          </rPr>
          <t>The Cord Lock options are;
50mm PS Privacy Blind, 
63mm PS Blind &amp; 
63mm PS Privacy Blind;
Left
Right
50mm PS Blind &amp; 
50mm Timber Blind;
Left
Right
Cordless</t>
        </r>
      </text>
    </comment>
    <comment ref="M53" authorId="1" shapeId="0" xr:uid="{6C7FB1DA-B552-4A26-B887-001780115BC3}">
      <text>
        <r>
          <rPr>
            <sz val="8"/>
            <color indexed="81"/>
            <rFont val="Tahoma"/>
            <family val="2"/>
          </rPr>
          <t>The Tilt options are;
For Cord Lock Left &amp; Right;
Left
Right
For Cordless;
Cordless Hook Wand Left
Cordless Hook Wand Right</t>
        </r>
      </text>
    </comment>
    <comment ref="O53" authorId="1" shapeId="0" xr:uid="{BB59380C-39B7-4DF6-A552-E584C52641E6}">
      <text>
        <r>
          <rPr>
            <sz val="8"/>
            <color indexed="81"/>
            <rFont val="Tahoma"/>
            <family val="2"/>
          </rPr>
          <t>Standard is default.
Common Fascia is when the same Fascia 
is used for two Blinds.</t>
        </r>
      </text>
    </comment>
    <comment ref="Q53" authorId="1" shapeId="0" xr:uid="{CB42AA9B-8E9E-4022-ABAB-3ED85B6D9DD5}">
      <text>
        <r>
          <rPr>
            <sz val="8"/>
            <color indexed="81"/>
            <rFont val="Tahoma"/>
            <family val="2"/>
          </rPr>
          <t>When left blank, 
no Cut Out applies.</t>
        </r>
      </text>
    </comment>
    <comment ref="S53" authorId="1" shapeId="0" xr:uid="{311C7AEF-0F91-4515-A7DA-167E421B08E0}">
      <text>
        <r>
          <rPr>
            <sz val="8"/>
            <color indexed="81"/>
            <rFont val="Tahoma"/>
            <family val="2"/>
          </rPr>
          <t>Blind Width          Maximum Cut Out Width
For 50mm/63mm PS/PS Privacy
222 - 254mm       50mm
255 - 379mm       75mm
 &gt; 380mm             130mm</t>
        </r>
      </text>
    </comment>
    <comment ref="U53" authorId="1" shapeId="0" xr:uid="{F18F55E2-25C8-4321-8AA5-0860001C7B90}">
      <text>
        <r>
          <rPr>
            <sz val="8"/>
            <color indexed="81"/>
            <rFont val="Tahoma"/>
            <family val="2"/>
          </rPr>
          <t xml:space="preserve">Blind Width          Maximum Cut Out Width
For 50mm/63mm PS/PS Privacy
222 - 254mm       50mm
255 - 379mm       75mm
 &gt; 380mm             130mm
</t>
        </r>
      </text>
    </comment>
    <comment ref="D54" authorId="0" shapeId="0" xr:uid="{BE648D9F-1BEF-4FE7-9382-E5245ECEF810}">
      <text>
        <r>
          <rPr>
            <sz val="8"/>
            <color indexed="81"/>
            <rFont val="Tahoma"/>
            <family val="2"/>
          </rPr>
          <t>The Product options are;
50mm PS Blind
50mm PS Privacy Blind
63mm PS Blind
63mm PS Privacy Blind
50mm Timber Blind</t>
        </r>
      </text>
    </comment>
    <comment ref="E54" authorId="1" shapeId="0" xr:uid="{95EFC823-EEFD-4995-A832-BF174F9ECF1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4" authorId="1" shapeId="0" xr:uid="{0E316345-0CC1-4BB4-84E4-14BAD7D98715}">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4" authorId="1" shapeId="0" xr:uid="{47193F39-3A86-47BE-9F20-4A94072E3C6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4" authorId="1" shapeId="0" xr:uid="{479FF732-24B7-466C-8DFB-DD4CA2CE4FA4}">
      <text>
        <r>
          <rPr>
            <sz val="8"/>
            <color indexed="81"/>
            <rFont val="Tahoma"/>
            <family val="2"/>
          </rPr>
          <t>When selecting a
Corner or Bay 
Window Type, 
the CMB Corner WS 
or the 
CMB Bay WS 
must be completed please.</t>
        </r>
      </text>
    </comment>
    <comment ref="J54" authorId="1" shapeId="0" xr:uid="{883179B6-8EB5-4E7C-81B1-F897FD508F9D}">
      <text>
        <r>
          <rPr>
            <sz val="8"/>
            <color indexed="81"/>
            <rFont val="Tahoma"/>
            <family val="2"/>
          </rPr>
          <t>ACT 
Actual Measurements
You have made the allowances.
NAM
No Allowances Made 
The factory will make the deductions.</t>
        </r>
      </text>
    </comment>
    <comment ref="L54" authorId="1" shapeId="0" xr:uid="{14FDEC44-8489-445D-8655-D07AFE3BEE86}">
      <text>
        <r>
          <rPr>
            <sz val="8"/>
            <color indexed="81"/>
            <rFont val="Tahoma"/>
            <family val="2"/>
          </rPr>
          <t>The Cord Lock options are;
50mm PS Privacy Blind, 
63mm PS Blind &amp; 
63mm PS Privacy Blind;
Left
Right
50mm PS Blind &amp; 
50mm Timber Blind;
Left
Right
Cordless</t>
        </r>
      </text>
    </comment>
    <comment ref="M54" authorId="1" shapeId="0" xr:uid="{E6BA2032-E379-4581-8851-5AE1220C5F5B}">
      <text>
        <r>
          <rPr>
            <sz val="8"/>
            <color indexed="81"/>
            <rFont val="Tahoma"/>
            <family val="2"/>
          </rPr>
          <t>The Tilt options are;
For Cord Lock Left &amp; Right;
Left
Right
For Cordless;
Cordless Hook Wand Left
Cordless Hook Wand Right</t>
        </r>
      </text>
    </comment>
    <comment ref="O54" authorId="1" shapeId="0" xr:uid="{F393C8BB-F077-44F3-8B2B-5F8F1A70AC36}">
      <text>
        <r>
          <rPr>
            <sz val="8"/>
            <color indexed="81"/>
            <rFont val="Tahoma"/>
            <family val="2"/>
          </rPr>
          <t>Standard is default.
Common Fascia is when the same Fascia 
is used for two Blinds.</t>
        </r>
      </text>
    </comment>
    <comment ref="Q54" authorId="1" shapeId="0" xr:uid="{7247E51C-EE59-43FD-8A79-13A55EB6C34E}">
      <text>
        <r>
          <rPr>
            <sz val="8"/>
            <color indexed="81"/>
            <rFont val="Tahoma"/>
            <family val="2"/>
          </rPr>
          <t>When left blank, 
no Cut Out applies.</t>
        </r>
      </text>
    </comment>
    <comment ref="S54" authorId="1" shapeId="0" xr:uid="{670EDEAF-BD79-44C8-899D-B16F02F5FC67}">
      <text>
        <r>
          <rPr>
            <sz val="8"/>
            <color indexed="81"/>
            <rFont val="Tahoma"/>
            <family val="2"/>
          </rPr>
          <t>Blind Width          Maximum Cut Out Width
For 50mm/63mm PS/PS Privacy
222 - 254mm       50mm
255 - 379mm       75mm
 &gt; 380mm             130mm</t>
        </r>
      </text>
    </comment>
    <comment ref="U54" authorId="1" shapeId="0" xr:uid="{286D9467-7D42-4AEB-AF68-279A1C5F0518}">
      <text>
        <r>
          <rPr>
            <sz val="8"/>
            <color indexed="81"/>
            <rFont val="Tahoma"/>
            <family val="2"/>
          </rPr>
          <t xml:space="preserve">Blind Width          Maximum Cut Out Width
For 50mm/63mm PS/PS Privacy
222 - 254mm       50mm
255 - 379mm       75mm
 &gt; 380mm             130mm
</t>
        </r>
      </text>
    </comment>
    <comment ref="D55" authorId="0" shapeId="0" xr:uid="{507BBB26-6C80-46D3-A1E3-B811092CC28F}">
      <text>
        <r>
          <rPr>
            <sz val="8"/>
            <color indexed="81"/>
            <rFont val="Tahoma"/>
            <family val="2"/>
          </rPr>
          <t>The Product options are;
50mm PS Blind
50mm PS Privacy Blind
63mm PS Blind
63mm PS Privacy Blind
50mm Timber Blind</t>
        </r>
      </text>
    </comment>
    <comment ref="E55" authorId="1" shapeId="0" xr:uid="{E180BB56-BFC6-4C44-8502-E3AA47E6C3BD}">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5" authorId="1" shapeId="0" xr:uid="{6DD2017C-B986-4679-8DFA-6761149E99D4}">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5" authorId="1" shapeId="0" xr:uid="{81A22DD9-0816-4029-BB8A-4A0E23441212}">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5" authorId="1" shapeId="0" xr:uid="{1C035533-78FD-45D1-98D2-C1701DE896FB}">
      <text>
        <r>
          <rPr>
            <sz val="8"/>
            <color indexed="81"/>
            <rFont val="Tahoma"/>
            <family val="2"/>
          </rPr>
          <t>When selecting a
Corner or Bay 
Window Type, 
the CMB Corner WS 
or the 
CMB Bay WS 
must be completed please.</t>
        </r>
      </text>
    </comment>
    <comment ref="J55" authorId="1" shapeId="0" xr:uid="{6FF02178-C3C1-49F6-99B2-5B302254366B}">
      <text>
        <r>
          <rPr>
            <sz val="8"/>
            <color indexed="81"/>
            <rFont val="Tahoma"/>
            <family val="2"/>
          </rPr>
          <t>ACT 
Actual Measurements
You have made the allowances.
NAM
No Allowances Made 
The factory will make the deductions.</t>
        </r>
      </text>
    </comment>
    <comment ref="L55" authorId="1" shapeId="0" xr:uid="{F0231A69-28D9-4363-9B60-D699215101B3}">
      <text>
        <r>
          <rPr>
            <sz val="8"/>
            <color indexed="81"/>
            <rFont val="Tahoma"/>
            <family val="2"/>
          </rPr>
          <t>The Cord Lock options are;
50mm PS Privacy Blind, 
63mm PS Blind &amp; 
63mm PS Privacy Blind;
Left
Right
50mm PS Blind &amp; 
50mm Timber Blind;
Left
Right
Cordless</t>
        </r>
      </text>
    </comment>
    <comment ref="M55" authorId="1" shapeId="0" xr:uid="{F08C6E1C-1415-40EA-BAE3-B099E32AE59E}">
      <text>
        <r>
          <rPr>
            <sz val="8"/>
            <color indexed="81"/>
            <rFont val="Tahoma"/>
            <family val="2"/>
          </rPr>
          <t>The Tilt options are;
For Cord Lock Left &amp; Right;
Left
Right
For Cordless;
Cordless Hook Wand Left
Cordless Hook Wand Right</t>
        </r>
      </text>
    </comment>
    <comment ref="O55" authorId="1" shapeId="0" xr:uid="{4E9B55D6-6A96-4A4C-953B-62C0A3958862}">
      <text>
        <r>
          <rPr>
            <sz val="8"/>
            <color indexed="81"/>
            <rFont val="Tahoma"/>
            <family val="2"/>
          </rPr>
          <t>Standard is default.
Common Fascia is when the same Fascia 
is used for two Blinds.</t>
        </r>
      </text>
    </comment>
    <comment ref="Q55" authorId="1" shapeId="0" xr:uid="{7F026ADA-5BA7-450D-901E-3DFB6F80453E}">
      <text>
        <r>
          <rPr>
            <sz val="8"/>
            <color indexed="81"/>
            <rFont val="Tahoma"/>
            <family val="2"/>
          </rPr>
          <t>When left blank, 
no Cut Out applies.</t>
        </r>
      </text>
    </comment>
    <comment ref="S55" authorId="1" shapeId="0" xr:uid="{A8EDF8AE-BD87-49E9-A210-11898A2FB3BE}">
      <text>
        <r>
          <rPr>
            <sz val="8"/>
            <color indexed="81"/>
            <rFont val="Tahoma"/>
            <family val="2"/>
          </rPr>
          <t>Blind Width          Maximum Cut Out Width
For 50mm/63mm PS/PS Privacy
222 - 254mm       50mm
255 - 379mm       75mm
 &gt; 380mm             130mm</t>
        </r>
      </text>
    </comment>
    <comment ref="U55" authorId="1" shapeId="0" xr:uid="{2E4A8576-4765-4441-BCD8-F2E614C333F1}">
      <text>
        <r>
          <rPr>
            <sz val="8"/>
            <color indexed="81"/>
            <rFont val="Tahoma"/>
            <family val="2"/>
          </rPr>
          <t xml:space="preserve">Blind Width          Maximum Cut Out Width
For 50mm/63mm PS/PS Privacy
222 - 254mm       50mm
255 - 379mm       75mm
 &gt; 380mm             130mm
</t>
        </r>
      </text>
    </comment>
    <comment ref="D56" authorId="0" shapeId="0" xr:uid="{D60F562E-63A1-4DF7-9FE5-00F764B7B944}">
      <text>
        <r>
          <rPr>
            <sz val="8"/>
            <color indexed="81"/>
            <rFont val="Tahoma"/>
            <family val="2"/>
          </rPr>
          <t>The Product options are;
50mm PS Blind
50mm PS Privacy Blind
63mm PS Blind
63mm PS Privacy Blind
50mm Timber Blind</t>
        </r>
      </text>
    </comment>
    <comment ref="E56" authorId="1" shapeId="0" xr:uid="{9ECBD221-3DE8-4BBE-B83D-4576C9FEE03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6" authorId="1" shapeId="0" xr:uid="{762375A7-A2C0-4889-B30F-ADAA89E3FE88}">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6" authorId="1" shapeId="0" xr:uid="{C1A43861-3B8D-4E57-924F-427F33DFBABF}">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6" authorId="1" shapeId="0" xr:uid="{63FB4500-B295-4CE2-8702-4E5328896232}">
      <text>
        <r>
          <rPr>
            <sz val="8"/>
            <color indexed="81"/>
            <rFont val="Tahoma"/>
            <family val="2"/>
          </rPr>
          <t>When selecting a
Corner or Bay 
Window Type, 
the CMB Corner WS 
or the 
CMB Bay WS 
must be completed please.</t>
        </r>
      </text>
    </comment>
    <comment ref="J56" authorId="1" shapeId="0" xr:uid="{1E5666E1-F468-44A5-926E-BFC8FA4732BF}">
      <text>
        <r>
          <rPr>
            <sz val="8"/>
            <color indexed="81"/>
            <rFont val="Tahoma"/>
            <family val="2"/>
          </rPr>
          <t>ACT 
Actual Measurements
You have made the allowances.
NAM
No Allowances Made 
The factory will make the deductions.</t>
        </r>
      </text>
    </comment>
    <comment ref="L56" authorId="1" shapeId="0" xr:uid="{8E62BDE9-0CF8-46A6-BBAB-6E6BD08E30F1}">
      <text>
        <r>
          <rPr>
            <sz val="8"/>
            <color indexed="81"/>
            <rFont val="Tahoma"/>
            <family val="2"/>
          </rPr>
          <t>The Cord Lock options are;
50mm PS Privacy Blind, 
63mm PS Blind &amp; 
63mm PS Privacy Blind;
Left
Right
50mm PS Blind &amp; 
50mm Timber Blind;
Left
Right
Cordless</t>
        </r>
      </text>
    </comment>
    <comment ref="M56" authorId="1" shapeId="0" xr:uid="{319B90D5-8382-4331-9A89-17D92BC98ED2}">
      <text>
        <r>
          <rPr>
            <sz val="8"/>
            <color indexed="81"/>
            <rFont val="Tahoma"/>
            <family val="2"/>
          </rPr>
          <t>The Tilt options are;
For Cord Lock Left &amp; Right;
Left
Right
For Cordless;
Cordless Hook Wand Left
Cordless Hook Wand Right</t>
        </r>
      </text>
    </comment>
    <comment ref="O56" authorId="1" shapeId="0" xr:uid="{C051E484-BF28-467B-B87C-05B47A2427D6}">
      <text>
        <r>
          <rPr>
            <sz val="8"/>
            <color indexed="81"/>
            <rFont val="Tahoma"/>
            <family val="2"/>
          </rPr>
          <t>Standard is default.
Common Fascia is when the same Fascia 
is used for two Blinds.</t>
        </r>
      </text>
    </comment>
    <comment ref="Q56" authorId="1" shapeId="0" xr:uid="{DFE35010-9983-402C-BA50-2837A45DF17A}">
      <text>
        <r>
          <rPr>
            <sz val="8"/>
            <color indexed="81"/>
            <rFont val="Tahoma"/>
            <family val="2"/>
          </rPr>
          <t>When left blank, 
no Cut Out applies.</t>
        </r>
      </text>
    </comment>
    <comment ref="S56" authorId="1" shapeId="0" xr:uid="{F0F80F23-0058-4A3E-83EC-E1A686581772}">
      <text>
        <r>
          <rPr>
            <sz val="8"/>
            <color indexed="81"/>
            <rFont val="Tahoma"/>
            <family val="2"/>
          </rPr>
          <t>Blind Width          Maximum Cut Out Width
For 50mm/63mm PS/PS Privacy
222 - 254mm       50mm
255 - 379mm       75mm
 &gt; 380mm             130mm</t>
        </r>
      </text>
    </comment>
    <comment ref="U56" authorId="1" shapeId="0" xr:uid="{FAF42B4B-1C4B-4820-87C5-70AD3A1F7CEA}">
      <text>
        <r>
          <rPr>
            <sz val="8"/>
            <color indexed="81"/>
            <rFont val="Tahoma"/>
            <family val="2"/>
          </rPr>
          <t xml:space="preserve">Blind Width          Maximum Cut Out Width
For 50mm/63mm PS/PS Privacy
222 - 254mm       50mm
255 - 379mm       75mm
 &gt; 380mm             130mm
</t>
        </r>
      </text>
    </comment>
    <comment ref="D57" authorId="0" shapeId="0" xr:uid="{EB69BEDE-F9BC-48E8-9DDB-B9568A834191}">
      <text>
        <r>
          <rPr>
            <sz val="8"/>
            <color indexed="81"/>
            <rFont val="Tahoma"/>
            <family val="2"/>
          </rPr>
          <t>The Product options are;
50mm PS Blind
50mm PS Privacy Blind
63mm PS Blind
63mm PS Privacy Blind
50mm Timber Blind</t>
        </r>
      </text>
    </comment>
    <comment ref="E57" authorId="1" shapeId="0" xr:uid="{41425918-F23B-4FD1-B5F9-4888201FF53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7" authorId="1" shapeId="0" xr:uid="{F7C83593-4F54-4C4B-BA84-967A2CC81AFA}">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7" authorId="1" shapeId="0" xr:uid="{1AA3F7BB-5071-4F25-96DB-F73C1B023D73}">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7" authorId="1" shapeId="0" xr:uid="{434105DE-C4B8-40B0-9566-C7240C81FB55}">
      <text>
        <r>
          <rPr>
            <sz val="8"/>
            <color indexed="81"/>
            <rFont val="Tahoma"/>
            <family val="2"/>
          </rPr>
          <t>When selecting a
Corner or Bay 
Window Type, 
the CMB Corner WS 
or the 
CMB Bay WS 
must be completed please.</t>
        </r>
      </text>
    </comment>
    <comment ref="J57" authorId="1" shapeId="0" xr:uid="{A2077D48-D538-41D0-AB08-1477273E226C}">
      <text>
        <r>
          <rPr>
            <sz val="8"/>
            <color indexed="81"/>
            <rFont val="Tahoma"/>
            <family val="2"/>
          </rPr>
          <t>ACT 
Actual Measurements
You have made the allowances.
NAM
No Allowances Made 
The factory will make the deductions.</t>
        </r>
      </text>
    </comment>
    <comment ref="L57" authorId="1" shapeId="0" xr:uid="{15FBC1B0-5275-4FE6-815D-3FCB8896732E}">
      <text>
        <r>
          <rPr>
            <sz val="8"/>
            <color indexed="81"/>
            <rFont val="Tahoma"/>
            <family val="2"/>
          </rPr>
          <t>The Cord Lock options are;
50mm PS Privacy Blind, 
63mm PS Blind &amp; 
63mm PS Privacy Blind;
Left
Right
50mm PS Blind &amp; 
50mm Timber Blind;
Left
Right
Cordless</t>
        </r>
      </text>
    </comment>
    <comment ref="M57" authorId="1" shapeId="0" xr:uid="{1346B92B-D4C4-4780-9B58-C27CFD80A528}">
      <text>
        <r>
          <rPr>
            <sz val="8"/>
            <color indexed="81"/>
            <rFont val="Tahoma"/>
            <family val="2"/>
          </rPr>
          <t>The Tilt options are;
For Cord Lock Left &amp; Right;
Left
Right
For Cordless;
Cordless Hook Wand Left
Cordless Hook Wand Right</t>
        </r>
      </text>
    </comment>
    <comment ref="O57" authorId="1" shapeId="0" xr:uid="{F886D7A7-7EB8-4FB3-9FA5-F157880B38C3}">
      <text>
        <r>
          <rPr>
            <sz val="8"/>
            <color indexed="81"/>
            <rFont val="Tahoma"/>
            <family val="2"/>
          </rPr>
          <t>Standard is default.
Common Fascia is when the same Fascia 
is used for two Blinds.</t>
        </r>
      </text>
    </comment>
    <comment ref="Q57" authorId="1" shapeId="0" xr:uid="{311BD58D-756B-49E7-AC87-A91A0A5F557E}">
      <text>
        <r>
          <rPr>
            <sz val="8"/>
            <color indexed="81"/>
            <rFont val="Tahoma"/>
            <family val="2"/>
          </rPr>
          <t>When left blank, 
no Cut Out applies.</t>
        </r>
      </text>
    </comment>
    <comment ref="S57" authorId="1" shapeId="0" xr:uid="{6C7B1E06-FA21-4477-9F8D-02A7DD99B862}">
      <text>
        <r>
          <rPr>
            <sz val="8"/>
            <color indexed="81"/>
            <rFont val="Tahoma"/>
            <family val="2"/>
          </rPr>
          <t>Blind Width          Maximum Cut Out Width
For 50mm/63mm PS/PS Privacy
222 - 254mm       50mm
255 - 379mm       75mm
 &gt; 380mm             130mm</t>
        </r>
      </text>
    </comment>
    <comment ref="U57" authorId="1" shapeId="0" xr:uid="{55626869-C9B9-4C29-A22C-70CBD1F71A92}">
      <text>
        <r>
          <rPr>
            <sz val="8"/>
            <color indexed="81"/>
            <rFont val="Tahoma"/>
            <family val="2"/>
          </rPr>
          <t xml:space="preserve">Blind Width          Maximum Cut Out Width
For 50mm/63mm PS/PS Privacy
222 - 254mm       50mm
255 - 379mm       75mm
 &gt; 380mm             130mm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PWD</author>
    <author>Tony Sinke</author>
  </authors>
  <commentList>
    <comment ref="D7" authorId="0" shapeId="0" xr:uid="{A72DE73E-00A6-43D0-A273-2811EBFAC2B5}">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7" authorId="0" shapeId="0" xr:uid="{F11B98E0-6F98-41F8-AA88-3563CB333EC2}">
      <text>
        <r>
          <rPr>
            <sz val="8"/>
            <color indexed="81"/>
            <rFont val="Tahoma"/>
            <family val="2"/>
          </rPr>
          <t>Product options are;
25mm Single Cellular Blind
38mm Single Cellular Blind
45mm Single Cellular Blind
38mm Double Cellular Blind
45mm Single Cellular Cell In A Cell Blind</t>
        </r>
      </text>
    </comment>
    <comment ref="F7" authorId="0" shapeId="0" xr:uid="{FE8BE690-93C1-42AD-B34A-04DCA32CDC7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7" authorId="0" shapeId="0" xr:uid="{319A1D88-D058-4333-9410-CF41FB48EED6}">
      <text>
        <r>
          <rPr>
            <sz val="8"/>
            <color indexed="81"/>
            <rFont val="Tahoma"/>
            <family val="2"/>
          </rPr>
          <t>The Colour is dependent on the 
Fabric option selected. 
For a Day Night Blind, 
this Colour is for the 
Top Blind which can be either 
Blockout or Translucent.</t>
        </r>
      </text>
    </comment>
    <comment ref="H7" authorId="0" shapeId="0" xr:uid="{307E92E3-4CE4-48A5-AC0F-45D674BE0F09}">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7" authorId="0" shapeId="0" xr:uid="{3F1E407D-A8B2-4AA5-A727-860D9C309F82}">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7" authorId="0" shapeId="0" xr:uid="{AE54E3FC-1292-4F7E-AC51-E4018DECF83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7" authorId="0" shapeId="0" xr:uid="{8B61E12B-C71F-499D-AED4-3F4B0EF5D3FB}">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7" authorId="0" shapeId="0" xr:uid="{B883E6EF-3EF6-4EA7-A464-DBD11FEB175B}">
      <text>
        <r>
          <rPr>
            <sz val="8"/>
            <color indexed="81"/>
            <rFont val="Tahoma"/>
            <family val="2"/>
          </rPr>
          <t xml:space="preserve">Recess &amp; NAM must be selected 
when ordering Side Channels. 
The factory will take standard deductions. </t>
        </r>
      </text>
    </comment>
    <comment ref="M7" authorId="0" shapeId="0" xr:uid="{D6575E69-623A-4F47-9228-18CC10E8D72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7" authorId="0" shapeId="0" xr:uid="{512FDFDC-0926-48B3-BF9F-56943237CE5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7" authorId="0" shapeId="0" xr:uid="{F6331D7F-15F9-4019-AEDC-0AE12468F5C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7" authorId="0" shapeId="0" xr:uid="{E6891228-7AB3-4F63-8308-58779BFBEAEF}">
      <text>
        <r>
          <rPr>
            <sz val="8"/>
            <color indexed="81"/>
            <rFont val="Tahoma"/>
            <family val="2"/>
          </rPr>
          <t xml:space="preserve">The Motor Power Side options for 
Motors With Power Adapters are;
Left
Right
The Motor Power Side for USB-C 
Power Adaptors must match 
the side of the Wand. </t>
        </r>
      </text>
    </comment>
    <comment ref="R7" authorId="0" shapeId="0" xr:uid="{4BF5C597-5652-470F-9E3B-296B9906CED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7" authorId="1" shapeId="0" xr:uid="{265591CD-A7EE-4476-8EF9-D911036CFEF8}">
      <text>
        <r>
          <rPr>
            <sz val="9"/>
            <color indexed="81"/>
            <rFont val="Tahoma"/>
            <family val="2"/>
          </rPr>
          <t xml:space="preserve">
The Side Channel Colour 
options are;
Black
Ivory/Classic White
Gray/Earl Gray
White/Snow White</t>
        </r>
      </text>
    </comment>
    <comment ref="T7" authorId="0" shapeId="0" xr:uid="{486FA338-54E9-4E56-A985-9BFDAB449968}">
      <text>
        <r>
          <rPr>
            <sz val="8"/>
            <color indexed="81"/>
            <rFont val="Tahoma"/>
            <family val="2"/>
          </rPr>
          <t>If the Blind m2 is 
oversized, then 
"Check Size" 
will be listed.</t>
        </r>
      </text>
    </comment>
    <comment ref="U7" authorId="0" shapeId="0" xr:uid="{C6CB7215-8CAD-4D26-AA4E-EE827F0237F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7" authorId="0" shapeId="0" xr:uid="{33C115DB-F775-4232-BF30-ABE667E7A716}">
      <text>
        <r>
          <rPr>
            <sz val="8"/>
            <color indexed="81"/>
            <rFont val="Tahoma"/>
            <family val="2"/>
          </rPr>
          <t>Please use this section 
to specify 
any Special Requirements
for the Line/Order.</t>
        </r>
      </text>
    </comment>
    <comment ref="D8" authorId="0" shapeId="0" xr:uid="{395C6EF7-1899-409B-9B1F-03F1473FFBE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8" authorId="0" shapeId="0" xr:uid="{E42F9083-254E-4A7F-BF04-278B32B2F7D3}">
      <text>
        <r>
          <rPr>
            <sz val="8"/>
            <color indexed="81"/>
            <rFont val="Tahoma"/>
            <family val="2"/>
          </rPr>
          <t>Product options are;
25mm Single Cellular Blind
38mm Single Cellular Blind
45mm Single Cellular Blind
38mm Double Cellular Blind
45mm Single Cellular Cell In A Cell Blind</t>
        </r>
      </text>
    </comment>
    <comment ref="F8" authorId="0" shapeId="0" xr:uid="{6CFC7DF3-F08C-42BB-9F86-A1C8BF2A8967}">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8" authorId="0" shapeId="0" xr:uid="{446EAAE3-5901-4D24-ACB0-E339E2AE0943}">
      <text>
        <r>
          <rPr>
            <sz val="8"/>
            <color indexed="81"/>
            <rFont val="Tahoma"/>
            <family val="2"/>
          </rPr>
          <t>The Colour is dependent on the 
Fabric option selected. 
For a Day Night Blind, 
this Colour is for the 
Top Blind which can be either 
Blockout or Translucent.</t>
        </r>
      </text>
    </comment>
    <comment ref="H8" authorId="0" shapeId="0" xr:uid="{5D530517-C501-4B26-8091-BDB8F3A2A52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8" authorId="0" shapeId="0" xr:uid="{BCD7CA63-A86F-4FB7-91C5-0CB00B0BAFB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8" authorId="0" shapeId="0" xr:uid="{61267B98-70E1-427B-A716-3C6FCD11F817}">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8" authorId="0" shapeId="0" xr:uid="{1E38EDE5-E9AB-4580-9E93-B1522A916367}">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8" authorId="0" shapeId="0" xr:uid="{6E6CF7B3-1B64-4877-AD77-20FD128F445E}">
      <text>
        <r>
          <rPr>
            <sz val="8"/>
            <color indexed="81"/>
            <rFont val="Tahoma"/>
            <family val="2"/>
          </rPr>
          <t xml:space="preserve">Recess &amp; NAM must be selected 
when ordering Side Channels. 
The factory will take standard deductions. </t>
        </r>
      </text>
    </comment>
    <comment ref="M8" authorId="0" shapeId="0" xr:uid="{BC08FB00-C0F0-499E-AFAF-1BD9A859199F}">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8" authorId="0" shapeId="0" xr:uid="{8D1BDC29-8D9A-4F92-88E1-C470691EADEA}">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8" authorId="0" shapeId="0" xr:uid="{37E7C36B-38C0-46F5-B524-B5858226C595}">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8" authorId="0" shapeId="0" xr:uid="{F1FB9AFF-D9CC-4203-8011-23672B863401}">
      <text>
        <r>
          <rPr>
            <sz val="8"/>
            <color indexed="81"/>
            <rFont val="Tahoma"/>
            <family val="2"/>
          </rPr>
          <t xml:space="preserve">The Motor Power Side options for 
Motors With Power Adapters are;
Left
Right
The Motor Power Side for USB-C 
Power Adaptors must match 
the side of the Wand. </t>
        </r>
      </text>
    </comment>
    <comment ref="R8" authorId="0" shapeId="0" xr:uid="{AD5CF793-E865-4610-B603-E4AB50E4243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8" authorId="1" shapeId="0" xr:uid="{E371FF44-108C-4ED1-9724-18A6B9E6D2D2}">
      <text>
        <r>
          <rPr>
            <sz val="9"/>
            <color indexed="81"/>
            <rFont val="Tahoma"/>
            <family val="2"/>
          </rPr>
          <t xml:space="preserve">
The Side Channel Colour 
options are;
Black
Ivory/Classic White
Gray/Earl Gray
White/Snow White</t>
        </r>
      </text>
    </comment>
    <comment ref="T8" authorId="0" shapeId="0" xr:uid="{D33FC26D-55DD-4495-A862-B1897F727C62}">
      <text>
        <r>
          <rPr>
            <sz val="8"/>
            <color indexed="81"/>
            <rFont val="Tahoma"/>
            <family val="2"/>
          </rPr>
          <t>If the Blind m2 is 
oversized, then 
"Check Size" 
will be listed.</t>
        </r>
      </text>
    </comment>
    <comment ref="U8" authorId="0" shapeId="0" xr:uid="{A4B7B993-00AD-481B-ABA4-8DFA6863D0C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8" authorId="0" shapeId="0" xr:uid="{5950046B-9C8C-4CCB-85EA-3C7B141D7BCF}">
      <text>
        <r>
          <rPr>
            <sz val="8"/>
            <color indexed="81"/>
            <rFont val="Tahoma"/>
            <family val="2"/>
          </rPr>
          <t>Please use this section 
to specify 
any Special Requirements
for the Line/Order.</t>
        </r>
      </text>
    </comment>
    <comment ref="D9" authorId="0" shapeId="0" xr:uid="{ABB8A5A9-CE66-4427-B3DA-6CF3493E83E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9" authorId="0" shapeId="0" xr:uid="{6B7B8271-0225-4DBE-A986-E031E1045486}">
      <text>
        <r>
          <rPr>
            <sz val="8"/>
            <color indexed="81"/>
            <rFont val="Tahoma"/>
            <family val="2"/>
          </rPr>
          <t>Product options are;
25mm Single Cellular Blind
38mm Single Cellular Blind
45mm Single Cellular Blind
38mm Double Cellular Blind
45mm Single Cellular Cell In A Cell Blind</t>
        </r>
      </text>
    </comment>
    <comment ref="F9" authorId="0" shapeId="0" xr:uid="{3F6EC033-00CF-485F-B378-77A56D993C6A}">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9" authorId="0" shapeId="0" xr:uid="{52EAEB7F-6B44-4FA1-9774-3D55CD5487D2}">
      <text>
        <r>
          <rPr>
            <sz val="8"/>
            <color indexed="81"/>
            <rFont val="Tahoma"/>
            <family val="2"/>
          </rPr>
          <t>The Colour is dependent on the 
Fabric option selected. 
For a Day Night Blind, 
this Colour is for the 
Top Blind which can be either 
Blockout or Translucent.</t>
        </r>
      </text>
    </comment>
    <comment ref="H9" authorId="0" shapeId="0" xr:uid="{1AF37A06-1D86-4EBF-8B95-EA92B4C5AEEE}">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9" authorId="0" shapeId="0" xr:uid="{7F28B9FA-E9F6-474F-B80B-527CCB0471B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9" authorId="0" shapeId="0" xr:uid="{6F44B2EA-6295-4B42-8CF4-BCF97941B84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9" authorId="0" shapeId="0" xr:uid="{01E27A30-BA0C-4A0C-A0AB-45F74BFB0316}">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9" authorId="0" shapeId="0" xr:uid="{38903553-E732-448B-9A27-643AF8C10658}">
      <text>
        <r>
          <rPr>
            <sz val="8"/>
            <color indexed="81"/>
            <rFont val="Tahoma"/>
            <family val="2"/>
          </rPr>
          <t xml:space="preserve">Recess &amp; NAM must be selected 
when ordering Side Channels. 
The factory will take standard deductions. </t>
        </r>
      </text>
    </comment>
    <comment ref="M9" authorId="0" shapeId="0" xr:uid="{D8AC4B2A-3F75-4D89-BAE9-05120CE46CD0}">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9" authorId="0" shapeId="0" xr:uid="{C0FFB4D9-D0A0-484C-9735-471FFB2C246A}">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9" authorId="0" shapeId="0" xr:uid="{5E80561D-948F-45EC-9226-E28FC8CB90E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9" authorId="0" shapeId="0" xr:uid="{B2A5E2CE-D3CB-4FB5-A1C4-620C4FA38EDC}">
      <text>
        <r>
          <rPr>
            <sz val="8"/>
            <color indexed="81"/>
            <rFont val="Tahoma"/>
            <family val="2"/>
          </rPr>
          <t xml:space="preserve">The Motor Power Side options for 
Motors With Power Adapters are;
Left
Right
The Motor Power Side for USB-C 
Power Adaptors must match 
the side of the Wand. </t>
        </r>
      </text>
    </comment>
    <comment ref="R9" authorId="0" shapeId="0" xr:uid="{926FE680-2B81-4945-82BE-087CB2229B3A}">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9" authorId="1" shapeId="0" xr:uid="{27EE6A5C-D12B-476C-91D9-105F113A41B7}">
      <text>
        <r>
          <rPr>
            <sz val="9"/>
            <color indexed="81"/>
            <rFont val="Tahoma"/>
            <family val="2"/>
          </rPr>
          <t xml:space="preserve">
The Side Channel Colour 
options are;
Black
Ivory/Classic White
Gray/Earl Gray
White/Snow White</t>
        </r>
      </text>
    </comment>
    <comment ref="T9" authorId="0" shapeId="0" xr:uid="{3EE768A8-D241-44F8-8446-556E9BBA97B9}">
      <text>
        <r>
          <rPr>
            <sz val="8"/>
            <color indexed="81"/>
            <rFont val="Tahoma"/>
            <family val="2"/>
          </rPr>
          <t>If the Blind m2 is 
oversized, then 
"Check Size" 
will be listed.</t>
        </r>
      </text>
    </comment>
    <comment ref="U9" authorId="0" shapeId="0" xr:uid="{23B9EC5C-C52D-402A-B6D1-CF1CA80379B3}">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9" authorId="0" shapeId="0" xr:uid="{0FA1F97E-F96A-49AB-8094-BD3FE812DAC5}">
      <text>
        <r>
          <rPr>
            <sz val="8"/>
            <color indexed="81"/>
            <rFont val="Tahoma"/>
            <family val="2"/>
          </rPr>
          <t>Please use this section 
to specify 
any Special Requirements
for the Line/Order.</t>
        </r>
      </text>
    </comment>
    <comment ref="D10" authorId="0" shapeId="0" xr:uid="{084987E0-6693-4F99-B6FF-8CD77F765359}">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0" authorId="0" shapeId="0" xr:uid="{70FB3F5C-72F0-402F-83E5-C99819F365EB}">
      <text>
        <r>
          <rPr>
            <sz val="8"/>
            <color indexed="81"/>
            <rFont val="Tahoma"/>
            <family val="2"/>
          </rPr>
          <t>Product options are;
25mm Single Cellular Blind
38mm Single Cellular Blind
45mm Single Cellular Blind
38mm Double Cellular Blind
45mm Single Cellular Cell In A Cell Blind</t>
        </r>
      </text>
    </comment>
    <comment ref="F10" authorId="0" shapeId="0" xr:uid="{9300FAA5-BA46-4922-9FAE-515EE34A79C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0" authorId="0" shapeId="0" xr:uid="{BDE42541-B051-4E8B-B5A7-F4D67095559D}">
      <text>
        <r>
          <rPr>
            <sz val="8"/>
            <color indexed="81"/>
            <rFont val="Tahoma"/>
            <family val="2"/>
          </rPr>
          <t>The Colour is dependent on the 
Fabric option selected. 
For a Day Night Blind, 
this Colour is for the 
Top Blind which can be either 
Blockout or Translucent.</t>
        </r>
      </text>
    </comment>
    <comment ref="H10" authorId="0" shapeId="0" xr:uid="{0D64A12F-D923-4B06-A38C-C25FC149FF24}">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0" authorId="0" shapeId="0" xr:uid="{CB18398E-DB26-4FCD-9D91-9DEA1421A941}">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0" authorId="0" shapeId="0" xr:uid="{5B0B0CCD-C0BB-41E0-9044-52B1E626C7A3}">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0" authorId="0" shapeId="0" xr:uid="{94F11959-EDDC-422B-A0D7-0C378195D1E2}">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0" authorId="0" shapeId="0" xr:uid="{5308D1B9-E36A-4714-BA47-B8DD0F497CE9}">
      <text>
        <r>
          <rPr>
            <sz val="8"/>
            <color indexed="81"/>
            <rFont val="Tahoma"/>
            <family val="2"/>
          </rPr>
          <t xml:space="preserve">Recess &amp; NAM must be selected 
when ordering Side Channels. 
The factory will take standard deductions. </t>
        </r>
      </text>
    </comment>
    <comment ref="M10" authorId="0" shapeId="0" xr:uid="{841727D9-0081-4AB4-BF9C-C0737F53FCFA}">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0" authorId="0" shapeId="0" xr:uid="{1561E56A-BD54-45C2-B6F2-E2FD895378CB}">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0" authorId="0" shapeId="0" xr:uid="{D8348CF7-2EEF-4010-A78C-2F145DF2B87C}">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0" authorId="0" shapeId="0" xr:uid="{260A1D8A-8A38-4361-9E13-BA06D5F261A5}">
      <text>
        <r>
          <rPr>
            <sz val="8"/>
            <color indexed="81"/>
            <rFont val="Tahoma"/>
            <family val="2"/>
          </rPr>
          <t xml:space="preserve">The Motor Power Side options for 
Motors With Power Adapters are;
Left
Right
The Motor Power Side for USB-C 
Power Adaptors must match 
the side of the Wand. </t>
        </r>
      </text>
    </comment>
    <comment ref="R10" authorId="0" shapeId="0" xr:uid="{0A087E89-C68F-4EF4-BEEC-8747610FAAB7}">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0" authorId="1" shapeId="0" xr:uid="{EA116320-0634-4ED5-936E-0FF3EA10934C}">
      <text>
        <r>
          <rPr>
            <sz val="9"/>
            <color indexed="81"/>
            <rFont val="Tahoma"/>
            <family val="2"/>
          </rPr>
          <t xml:space="preserve">
The Side Channel Colour 
options are;
Black
Ivory/Classic White
Gray/Earl Gray
White/Snow White</t>
        </r>
      </text>
    </comment>
    <comment ref="T10" authorId="0" shapeId="0" xr:uid="{FFF7E958-32F0-4318-8619-A6F23278125C}">
      <text>
        <r>
          <rPr>
            <sz val="8"/>
            <color indexed="81"/>
            <rFont val="Tahoma"/>
            <family val="2"/>
          </rPr>
          <t>If the Blind m2 is 
oversized, then 
"Check Size" 
will be listed.</t>
        </r>
      </text>
    </comment>
    <comment ref="U10" authorId="0" shapeId="0" xr:uid="{1879F147-9A7D-4968-A61C-24B2EA25490A}">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0" authorId="0" shapeId="0" xr:uid="{4024D404-0ABE-4095-942E-0073C3DD5018}">
      <text>
        <r>
          <rPr>
            <sz val="8"/>
            <color indexed="81"/>
            <rFont val="Tahoma"/>
            <family val="2"/>
          </rPr>
          <t>Please use this section 
to specify 
any Special Requirements
for the Line/Order.</t>
        </r>
      </text>
    </comment>
    <comment ref="D11" authorId="0" shapeId="0" xr:uid="{DA12751A-B470-46E1-9D5D-83AD9B2AB8D2}">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1" authorId="0" shapeId="0" xr:uid="{9EA224F8-C2B1-4EF7-8E42-BEA4BC44BB40}">
      <text>
        <r>
          <rPr>
            <sz val="8"/>
            <color indexed="81"/>
            <rFont val="Tahoma"/>
            <family val="2"/>
          </rPr>
          <t>Product options are;
25mm Single Cellular Blind
38mm Single Cellular Blind
45mm Single Cellular Blind
38mm Double Cellular Blind
45mm Single Cellular Cell In A Cell Blind</t>
        </r>
      </text>
    </comment>
    <comment ref="F11" authorId="0" shapeId="0" xr:uid="{FF3589E1-F9B2-488C-A4BF-B0F43AF6052E}">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1" authorId="0" shapeId="0" xr:uid="{711044E7-BD9D-4FD3-A0E2-8408F77DFB4A}">
      <text>
        <r>
          <rPr>
            <sz val="8"/>
            <color indexed="81"/>
            <rFont val="Tahoma"/>
            <family val="2"/>
          </rPr>
          <t>The Colour is dependent on the 
Fabric option selected. 
For a Day Night Blind, 
this Colour is for the 
Top Blind which can be either 
Blockout or Translucent.</t>
        </r>
      </text>
    </comment>
    <comment ref="H11" authorId="0" shapeId="0" xr:uid="{DD59E9F9-D578-48B4-BF18-144E01347E0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1" authorId="0" shapeId="0" xr:uid="{84B466FE-C423-48D0-8D52-85589ACE6036}">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1" authorId="0" shapeId="0" xr:uid="{B96B209C-83B1-4E61-9E85-172AC655E3A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1" authorId="0" shapeId="0" xr:uid="{61B3F40B-254C-4A6B-9F49-670DA9957235}">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1" authorId="0" shapeId="0" xr:uid="{AFE6FD7D-F34B-4973-8B7D-CF719A3C7517}">
      <text>
        <r>
          <rPr>
            <sz val="8"/>
            <color indexed="81"/>
            <rFont val="Tahoma"/>
            <family val="2"/>
          </rPr>
          <t xml:space="preserve">Recess &amp; NAM must be selected 
when ordering Side Channels. 
The factory will take standard deductions. </t>
        </r>
      </text>
    </comment>
    <comment ref="M11" authorId="0" shapeId="0" xr:uid="{854F4B24-79C0-4391-9C51-94897F77005E}">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1" authorId="0" shapeId="0" xr:uid="{65D4EE20-55B2-4C2A-BEDC-8F0ACD95474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1" authorId="0" shapeId="0" xr:uid="{C4965A2F-ED16-492B-AE2A-3C75FB1A61ED}">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1" authorId="0" shapeId="0" xr:uid="{3E78D518-97D4-4A24-A7CB-E2349E439377}">
      <text>
        <r>
          <rPr>
            <sz val="8"/>
            <color indexed="81"/>
            <rFont val="Tahoma"/>
            <family val="2"/>
          </rPr>
          <t xml:space="preserve">The Motor Power Side options for 
Motors With Power Adapters are;
Left
Right
The Motor Power Side for USB-C 
Power Adaptors must match 
the side of the Wand. </t>
        </r>
      </text>
    </comment>
    <comment ref="R11" authorId="0" shapeId="0" xr:uid="{F30B4216-3AB6-4D83-89AC-00B08EE279F4}">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1" authorId="1" shapeId="0" xr:uid="{F43E1902-7CAF-4FF0-BEF4-48F7C5AFE27B}">
      <text>
        <r>
          <rPr>
            <sz val="9"/>
            <color indexed="81"/>
            <rFont val="Tahoma"/>
            <family val="2"/>
          </rPr>
          <t xml:space="preserve">
The Side Channel Colour 
options are;
Black
Ivory/Classic White
Gray/Earl Gray
White/Snow White</t>
        </r>
      </text>
    </comment>
    <comment ref="T11" authorId="0" shapeId="0" xr:uid="{60C7753A-C20E-49EB-B126-13EE57A8F259}">
      <text>
        <r>
          <rPr>
            <sz val="8"/>
            <color indexed="81"/>
            <rFont val="Tahoma"/>
            <family val="2"/>
          </rPr>
          <t>If the Blind m2 is 
oversized, then 
"Check Size" 
will be listed.</t>
        </r>
      </text>
    </comment>
    <comment ref="U11" authorId="0" shapeId="0" xr:uid="{5A4E42A1-9CBF-48C6-8D3F-E8EDFF349665}">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1" authorId="0" shapeId="0" xr:uid="{C4447A9A-D9FE-4652-B9FE-394BF6080B6E}">
      <text>
        <r>
          <rPr>
            <sz val="8"/>
            <color indexed="81"/>
            <rFont val="Tahoma"/>
            <family val="2"/>
          </rPr>
          <t>Please use this section 
to specify 
any Special Requirements
for the Line/Order.</t>
        </r>
      </text>
    </comment>
    <comment ref="D12" authorId="0" shapeId="0" xr:uid="{539659E5-1C43-4E79-9AC3-6A67BCADA6A2}">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2" authorId="0" shapeId="0" xr:uid="{392F4B8D-CEE9-4597-82DF-477475942785}">
      <text>
        <r>
          <rPr>
            <sz val="8"/>
            <color indexed="81"/>
            <rFont val="Tahoma"/>
            <family val="2"/>
          </rPr>
          <t>Product options are;
25mm Single Cellular Blind
38mm Single Cellular Blind
45mm Single Cellular Blind
38mm Double Cellular Blind
45mm Single Cellular Cell In A Cell Blind</t>
        </r>
      </text>
    </comment>
    <comment ref="F12" authorId="0" shapeId="0" xr:uid="{0484E3D9-5B64-4EC4-9EC1-175E12AB9B54}">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2" authorId="0" shapeId="0" xr:uid="{3BF677DA-99DA-4A10-82EB-6770B59A5692}">
      <text>
        <r>
          <rPr>
            <sz val="8"/>
            <color indexed="81"/>
            <rFont val="Tahoma"/>
            <family val="2"/>
          </rPr>
          <t>The Colour is dependent on the 
Fabric option selected. 
For a Day Night Blind, 
this Colour is for the 
Top Blind which can be either 
Blockout or Translucent.</t>
        </r>
      </text>
    </comment>
    <comment ref="H12" authorId="0" shapeId="0" xr:uid="{3A75DB7E-57DE-4851-BCCC-DD261CA7BA3F}">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2" authorId="0" shapeId="0" xr:uid="{1B4957A8-CA19-41FA-8A1D-8BF730B2E41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2" authorId="0" shapeId="0" xr:uid="{A6FAF1A8-1E26-4138-A931-0278A71D67CF}">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2" authorId="0" shapeId="0" xr:uid="{5DADACFF-3472-449D-9F0B-39EC19BB4281}">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2" authorId="0" shapeId="0" xr:uid="{5E925348-44DA-487E-8361-20AC7C6447EB}">
      <text>
        <r>
          <rPr>
            <sz val="8"/>
            <color indexed="81"/>
            <rFont val="Tahoma"/>
            <family val="2"/>
          </rPr>
          <t xml:space="preserve">Recess &amp; NAM must be selected 
when ordering Side Channels. 
The factory will take standard deductions. </t>
        </r>
      </text>
    </comment>
    <comment ref="M12" authorId="0" shapeId="0" xr:uid="{098AA46B-2FF3-4430-B0D6-50D9DA22FBB5}">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2" authorId="0" shapeId="0" xr:uid="{1C083360-4753-4516-B76D-E6B4F0E9C7B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2" authorId="0" shapeId="0" xr:uid="{025110ED-F8F2-4DF5-8EC6-10450CBA76A0}">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2" authorId="0" shapeId="0" xr:uid="{8A343D55-3E4F-4693-9D51-BE9893626E40}">
      <text>
        <r>
          <rPr>
            <sz val="8"/>
            <color indexed="81"/>
            <rFont val="Tahoma"/>
            <family val="2"/>
          </rPr>
          <t xml:space="preserve">The Motor Power Side options for 
Motors With Power Adapters are;
Left
Right
The Motor Power Side for USB-C 
Power Adaptors must match 
the side of the Wand. </t>
        </r>
      </text>
    </comment>
    <comment ref="R12" authorId="0" shapeId="0" xr:uid="{28D63464-2D53-4E0E-9A18-7725A70EF3E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2" authorId="1" shapeId="0" xr:uid="{7B5DBE4B-9A66-4D18-B3B0-A64C506D15C8}">
      <text>
        <r>
          <rPr>
            <sz val="9"/>
            <color indexed="81"/>
            <rFont val="Tahoma"/>
            <family val="2"/>
          </rPr>
          <t xml:space="preserve">
The Side Channel Colour 
options are;
Black
Ivory/Classic White
Gray/Earl Gray
White/Snow White</t>
        </r>
      </text>
    </comment>
    <comment ref="T12" authorId="0" shapeId="0" xr:uid="{AE91827B-3564-4B09-A8B7-B701B150103F}">
      <text>
        <r>
          <rPr>
            <sz val="8"/>
            <color indexed="81"/>
            <rFont val="Tahoma"/>
            <family val="2"/>
          </rPr>
          <t>If the Blind m2 is 
oversized, then 
"Check Size" 
will be listed.</t>
        </r>
      </text>
    </comment>
    <comment ref="U12" authorId="0" shapeId="0" xr:uid="{24079C94-A201-4320-8814-1730DA3414B5}">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2" authorId="0" shapeId="0" xr:uid="{26C9992C-FA51-42FA-8DE0-E9A275B83B4D}">
      <text>
        <r>
          <rPr>
            <sz val="8"/>
            <color indexed="81"/>
            <rFont val="Tahoma"/>
            <family val="2"/>
          </rPr>
          <t>Please use this section 
to specify 
any Special Requirements
for the Line/Order.</t>
        </r>
      </text>
    </comment>
    <comment ref="D13" authorId="0" shapeId="0" xr:uid="{82867890-1EFA-4D91-A314-2E574BC51B3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3" authorId="0" shapeId="0" xr:uid="{67326D28-44E8-478A-86FD-DC1AAE85E536}">
      <text>
        <r>
          <rPr>
            <sz val="8"/>
            <color indexed="81"/>
            <rFont val="Tahoma"/>
            <family val="2"/>
          </rPr>
          <t>Product options are;
25mm Single Cellular Blind
38mm Single Cellular Blind
45mm Single Cellular Blind
38mm Double Cellular Blind
45mm Single Cellular Cell In A Cell Blind</t>
        </r>
      </text>
    </comment>
    <comment ref="F13" authorId="0" shapeId="0" xr:uid="{A6362E87-4AE0-43F9-AE0B-1C381472838B}">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3" authorId="0" shapeId="0" xr:uid="{B16E74E6-7C41-4C61-8238-DC29D802D7F9}">
      <text>
        <r>
          <rPr>
            <sz val="8"/>
            <color indexed="81"/>
            <rFont val="Tahoma"/>
            <family val="2"/>
          </rPr>
          <t>The Colour is dependent on the 
Fabric option selected. 
For a Day Night Blind, 
this Colour is for the 
Top Blind which can be either 
Blockout or Translucent.</t>
        </r>
      </text>
    </comment>
    <comment ref="H13" authorId="0" shapeId="0" xr:uid="{AD65F90B-9AC0-47A7-AA18-EFA8491069F0}">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3" authorId="0" shapeId="0" xr:uid="{9339EB00-72A3-44CB-999A-969467DF719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3" authorId="0" shapeId="0" xr:uid="{E8E4706B-FCFD-488F-97FA-3653807BB083}">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3" authorId="0" shapeId="0" xr:uid="{E3EDDB45-441D-426D-971A-7443DB22BE7A}">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3" authorId="0" shapeId="0" xr:uid="{4ECDA3B5-E73B-48EE-943D-3EA945698E25}">
      <text>
        <r>
          <rPr>
            <sz val="8"/>
            <color indexed="81"/>
            <rFont val="Tahoma"/>
            <family val="2"/>
          </rPr>
          <t xml:space="preserve">Recess &amp; NAM must be selected 
when ordering Side Channels. 
The factory will take standard deductions. </t>
        </r>
      </text>
    </comment>
    <comment ref="M13" authorId="0" shapeId="0" xr:uid="{A2632C1C-86DA-497D-AB6F-E611376982B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3" authorId="0" shapeId="0" xr:uid="{0FEBE09A-1CF1-4F90-9603-BD90A6D87CE8}">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3" authorId="0" shapeId="0" xr:uid="{2796AA3F-A101-4648-BAA3-88F5D3349B1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3" authorId="0" shapeId="0" xr:uid="{FAFBFA8F-0E32-4EE0-9001-E1DF30620B3A}">
      <text>
        <r>
          <rPr>
            <sz val="8"/>
            <color indexed="81"/>
            <rFont val="Tahoma"/>
            <family val="2"/>
          </rPr>
          <t xml:space="preserve">The Motor Power Side options for 
Motors With Power Adapters are;
Left
Right
The Motor Power Side for USB-C 
Power Adaptors must match 
the side of the Wand. </t>
        </r>
      </text>
    </comment>
    <comment ref="R13" authorId="0" shapeId="0" xr:uid="{9E156347-9BD4-4E09-9727-226CC5E9853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3" authorId="1" shapeId="0" xr:uid="{3BBDD9E8-3417-4A4D-829E-6E4603CBE4C5}">
      <text>
        <r>
          <rPr>
            <sz val="9"/>
            <color indexed="81"/>
            <rFont val="Tahoma"/>
            <family val="2"/>
          </rPr>
          <t xml:space="preserve">
The Side Channel Colour 
options are;
Black
Ivory/Classic White
Gray/Earl Gray
White/Snow White</t>
        </r>
      </text>
    </comment>
    <comment ref="T13" authorId="0" shapeId="0" xr:uid="{34AC5CDE-3DF0-4E6C-B5B4-2E9AE725420C}">
      <text>
        <r>
          <rPr>
            <sz val="8"/>
            <color indexed="81"/>
            <rFont val="Tahoma"/>
            <family val="2"/>
          </rPr>
          <t>If the Blind m2 is 
oversized, then 
"Check Size" 
will be listed.</t>
        </r>
      </text>
    </comment>
    <comment ref="U13" authorId="0" shapeId="0" xr:uid="{65B88EF2-2DE9-49A2-A37A-70AB7AE121E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3" authorId="0" shapeId="0" xr:uid="{3E2C8C87-6972-4BDF-BCEF-491A990A2E00}">
      <text>
        <r>
          <rPr>
            <sz val="8"/>
            <color indexed="81"/>
            <rFont val="Tahoma"/>
            <family val="2"/>
          </rPr>
          <t>Please use this section 
to specify 
any Special Requirements
for the Line/Order.</t>
        </r>
      </text>
    </comment>
    <comment ref="D14" authorId="0" shapeId="0" xr:uid="{18CC7183-F7E0-4CFB-9004-12938766A57F}">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4" authorId="0" shapeId="0" xr:uid="{B985F166-8186-43C8-9AED-FE8AEC99C180}">
      <text>
        <r>
          <rPr>
            <sz val="8"/>
            <color indexed="81"/>
            <rFont val="Tahoma"/>
            <family val="2"/>
          </rPr>
          <t>Product options are;
25mm Single Cellular Blind
38mm Single Cellular Blind
45mm Single Cellular Blind
38mm Double Cellular Blind
45mm Single Cellular Cell In A Cell Blind</t>
        </r>
      </text>
    </comment>
    <comment ref="F14" authorId="0" shapeId="0" xr:uid="{5301FF9E-1132-4507-B633-389144D9C22A}">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4" authorId="0" shapeId="0" xr:uid="{C44DD724-DB2F-404A-9B37-392E150753BD}">
      <text>
        <r>
          <rPr>
            <sz val="8"/>
            <color indexed="81"/>
            <rFont val="Tahoma"/>
            <family val="2"/>
          </rPr>
          <t>The Colour is dependent on the 
Fabric option selected. 
For a Day Night Blind, 
this Colour is for the 
Top Blind which can be either 
Blockout or Translucent.</t>
        </r>
      </text>
    </comment>
    <comment ref="H14" authorId="0" shapeId="0" xr:uid="{2F6AF9EB-AC36-4C19-B1FB-90B9806880C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4" authorId="0" shapeId="0" xr:uid="{A41A3DA5-F423-4CAB-8F5B-14901642A6E6}">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4" authorId="0" shapeId="0" xr:uid="{7F810E28-3750-43A6-BF35-3B3D9B285D31}">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4" authorId="0" shapeId="0" xr:uid="{50ECF8F1-F102-485D-A295-C621A2980B2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4" authorId="0" shapeId="0" xr:uid="{CDA7FE5E-82C9-4758-8887-25518E877A6E}">
      <text>
        <r>
          <rPr>
            <sz val="8"/>
            <color indexed="81"/>
            <rFont val="Tahoma"/>
            <family val="2"/>
          </rPr>
          <t xml:space="preserve">Recess &amp; NAM must be selected 
when ordering Side Channels. 
The factory will take standard deductions. </t>
        </r>
      </text>
    </comment>
    <comment ref="M14" authorId="0" shapeId="0" xr:uid="{BE61EF1A-4849-4400-9602-2551494763F2}">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4" authorId="0" shapeId="0" xr:uid="{FB72A7E1-7730-4489-8755-1D33205CFFBF}">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4" authorId="0" shapeId="0" xr:uid="{3BFB5940-6CEE-4FE1-BBDB-6859C65B41E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4" authorId="0" shapeId="0" xr:uid="{879E5B62-238C-4008-9674-C23706423D75}">
      <text>
        <r>
          <rPr>
            <sz val="8"/>
            <color indexed="81"/>
            <rFont val="Tahoma"/>
            <family val="2"/>
          </rPr>
          <t xml:space="preserve">The Motor Power Side options for 
Motors With Power Adapters are;
Left
Right
The Motor Power Side for USB-C 
Power Adaptors must match 
the side of the Wand. </t>
        </r>
      </text>
    </comment>
    <comment ref="R14" authorId="0" shapeId="0" xr:uid="{ECE9A7E7-7F2A-48B1-8719-101C9365567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4" authorId="1" shapeId="0" xr:uid="{1B735824-3C00-4DB4-BC42-066C76AA65E1}">
      <text>
        <r>
          <rPr>
            <sz val="9"/>
            <color indexed="81"/>
            <rFont val="Tahoma"/>
            <family val="2"/>
          </rPr>
          <t xml:space="preserve">
The Side Channel Colour 
options are;
Black
Ivory/Classic White
Gray/Earl Gray
White/Snow White</t>
        </r>
      </text>
    </comment>
    <comment ref="T14" authorId="0" shapeId="0" xr:uid="{EB5E3D1C-2A79-429C-8B64-EA43448BCED2}">
      <text>
        <r>
          <rPr>
            <sz val="8"/>
            <color indexed="81"/>
            <rFont val="Tahoma"/>
            <family val="2"/>
          </rPr>
          <t>If the Blind m2 is 
oversized, then 
"Check Size" 
will be listed.</t>
        </r>
      </text>
    </comment>
    <comment ref="U14" authorId="0" shapeId="0" xr:uid="{302AECA9-5B13-4B27-B4D1-62245322B9B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4" authorId="0" shapeId="0" xr:uid="{9FC34CBB-D779-4953-9A4B-A9E509E4B437}">
      <text>
        <r>
          <rPr>
            <sz val="8"/>
            <color indexed="81"/>
            <rFont val="Tahoma"/>
            <family val="2"/>
          </rPr>
          <t>Please use this section 
to specify 
any Special Requirements
for the Line/Order.</t>
        </r>
      </text>
    </comment>
    <comment ref="D15" authorId="0" shapeId="0" xr:uid="{2401A7E1-CDA0-4858-A2F6-9B2992E04611}">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5" authorId="0" shapeId="0" xr:uid="{4F7EF4C6-1E2F-4A63-9F57-A8B1A9DFDCBD}">
      <text>
        <r>
          <rPr>
            <sz val="8"/>
            <color indexed="81"/>
            <rFont val="Tahoma"/>
            <family val="2"/>
          </rPr>
          <t>Product options are;
25mm Single Cellular Blind
38mm Single Cellular Blind
45mm Single Cellular Blind
38mm Double Cellular Blind
45mm Single Cellular Cell In A Cell Blind</t>
        </r>
      </text>
    </comment>
    <comment ref="F15" authorId="0" shapeId="0" xr:uid="{4083234D-DBE4-4EA2-BBCC-AB96789CBFF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5" authorId="0" shapeId="0" xr:uid="{DC52847B-8911-43F2-AB1E-40274342ABDC}">
      <text>
        <r>
          <rPr>
            <sz val="8"/>
            <color indexed="81"/>
            <rFont val="Tahoma"/>
            <family val="2"/>
          </rPr>
          <t>The Colour is dependent on the 
Fabric option selected. 
For a Day Night Blind, 
this Colour is for the 
Top Blind which can be either 
Blockout or Translucent.</t>
        </r>
      </text>
    </comment>
    <comment ref="H15" authorId="0" shapeId="0" xr:uid="{5F99A90D-1BFE-495B-A7D3-70370AFA18BE}">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5" authorId="0" shapeId="0" xr:uid="{716981BD-525E-4A69-9CCD-3830037CF985}">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5" authorId="0" shapeId="0" xr:uid="{16BCB296-0D01-4F81-917E-D25454E2BA2D}">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5" authorId="0" shapeId="0" xr:uid="{0F8D0C52-968F-4574-92D6-9A93C8032C3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5" authorId="0" shapeId="0" xr:uid="{00EC56BB-50C6-4284-9FEC-9BBEEFDBA80F}">
      <text>
        <r>
          <rPr>
            <sz val="8"/>
            <color indexed="81"/>
            <rFont val="Tahoma"/>
            <family val="2"/>
          </rPr>
          <t xml:space="preserve">Recess &amp; NAM must be selected 
when ordering Side Channels. 
The factory will take standard deductions. </t>
        </r>
      </text>
    </comment>
    <comment ref="M15" authorId="0" shapeId="0" xr:uid="{25B22D21-3258-4D47-B864-C5D2FDBE12CF}">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5" authorId="0" shapeId="0" xr:uid="{8F7DD792-2AFF-437C-8C39-787E00122BE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5" authorId="0" shapeId="0" xr:uid="{7435FDED-6B29-48DE-B24F-6D1452EBE0D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5" authorId="0" shapeId="0" xr:uid="{1D72C829-C68D-4ABF-86B5-E1D09F7A9DCB}">
      <text>
        <r>
          <rPr>
            <sz val="8"/>
            <color indexed="81"/>
            <rFont val="Tahoma"/>
            <family val="2"/>
          </rPr>
          <t xml:space="preserve">The Motor Power Side options for 
Motors With Power Adapters are;
Left
Right
The Motor Power Side for USB-C 
Power Adaptors must match 
the side of the Wand. </t>
        </r>
      </text>
    </comment>
    <comment ref="R15" authorId="0" shapeId="0" xr:uid="{8481057F-9488-4CA4-A319-729122820CFB}">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5" authorId="1" shapeId="0" xr:uid="{4617BDE8-A577-4434-9C0E-D0611702305F}">
      <text>
        <r>
          <rPr>
            <sz val="9"/>
            <color indexed="81"/>
            <rFont val="Tahoma"/>
            <family val="2"/>
          </rPr>
          <t xml:space="preserve">
The Side Channel Colour 
options are;
Black
Ivory/Classic White
Gray/Earl Gray
White/Snow White</t>
        </r>
      </text>
    </comment>
    <comment ref="T15" authorId="0" shapeId="0" xr:uid="{F1A06D5B-78C6-4DC5-A40D-04B65C9DD95F}">
      <text>
        <r>
          <rPr>
            <sz val="8"/>
            <color indexed="81"/>
            <rFont val="Tahoma"/>
            <family val="2"/>
          </rPr>
          <t>If the Blind m2 is 
oversized, then 
"Check Size" 
will be listed.</t>
        </r>
      </text>
    </comment>
    <comment ref="U15" authorId="0" shapeId="0" xr:uid="{9FF99484-716B-4C31-815F-2DD9B91456CB}">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5" authorId="0" shapeId="0" xr:uid="{786FB6E0-E3C8-46FF-9C98-0FF0CD48FE6A}">
      <text>
        <r>
          <rPr>
            <sz val="8"/>
            <color indexed="81"/>
            <rFont val="Tahoma"/>
            <family val="2"/>
          </rPr>
          <t>Please use this section 
to specify 
any Special Requirements
for the Line/Order.</t>
        </r>
      </text>
    </comment>
    <comment ref="D16" authorId="0" shapeId="0" xr:uid="{4F505592-31F6-4E9A-8907-07DC92B16284}">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6" authorId="0" shapeId="0" xr:uid="{6572414E-7A0F-4F62-9B6F-4B04E861F006}">
      <text>
        <r>
          <rPr>
            <sz val="8"/>
            <color indexed="81"/>
            <rFont val="Tahoma"/>
            <family val="2"/>
          </rPr>
          <t>Product options are;
25mm Single Cellular Blind
38mm Single Cellular Blind
45mm Single Cellular Blind
38mm Double Cellular Blind
45mm Single Cellular Cell In A Cell Blind</t>
        </r>
      </text>
    </comment>
    <comment ref="F16" authorId="0" shapeId="0" xr:uid="{23772FFD-7879-4B20-A15B-E90AFC2BDAC9}">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6" authorId="0" shapeId="0" xr:uid="{80FFC8EE-BD7C-4201-8A0D-E19A06E04A8A}">
      <text>
        <r>
          <rPr>
            <sz val="8"/>
            <color indexed="81"/>
            <rFont val="Tahoma"/>
            <family val="2"/>
          </rPr>
          <t>The Colour is dependent on the 
Fabric option selected. 
For a Day Night Blind, 
this Colour is for the 
Top Blind which can be either 
Blockout or Translucent.</t>
        </r>
      </text>
    </comment>
    <comment ref="H16" authorId="0" shapeId="0" xr:uid="{8A273A04-4D97-4B99-A2B5-2FBCEB6A1312}">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6" authorId="0" shapeId="0" xr:uid="{29CDF4A4-471F-4918-A996-5DC76138060E}">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6" authorId="0" shapeId="0" xr:uid="{C02A0A1A-8C74-4D1B-A545-8523F3F8516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6" authorId="0" shapeId="0" xr:uid="{67A033B0-5E73-44B7-B62D-3E0562303101}">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6" authorId="0" shapeId="0" xr:uid="{BD727CC6-2B8B-4429-8F6E-ECF4AA1E2E5D}">
      <text>
        <r>
          <rPr>
            <sz val="8"/>
            <color indexed="81"/>
            <rFont val="Tahoma"/>
            <family val="2"/>
          </rPr>
          <t xml:space="preserve">Recess &amp; NAM must be selected 
when ordering Side Channels. 
The factory will take standard deductions. </t>
        </r>
      </text>
    </comment>
    <comment ref="M16" authorId="0" shapeId="0" xr:uid="{E976FA1B-314C-401E-91FF-D9315F7D6900}">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6" authorId="0" shapeId="0" xr:uid="{61C0591A-2D28-4CAA-AFEC-5E99EFF1155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6" authorId="0" shapeId="0" xr:uid="{AD77F997-E041-4A34-9ABD-072CD856DC83}">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6" authorId="0" shapeId="0" xr:uid="{B88ECBC6-28C1-49B0-B023-C5C33FD4DF57}">
      <text>
        <r>
          <rPr>
            <sz val="8"/>
            <color indexed="81"/>
            <rFont val="Tahoma"/>
            <family val="2"/>
          </rPr>
          <t xml:space="preserve">The Motor Power Side options for 
Motors With Power Adapters are;
Left
Right
The Motor Power Side for USB-C 
Power Adaptors must match 
the side of the Wand. </t>
        </r>
      </text>
    </comment>
    <comment ref="R16" authorId="0" shapeId="0" xr:uid="{57B3B046-37D4-4E27-9434-EB7D9865AED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6" authorId="1" shapeId="0" xr:uid="{A83A6170-5EDC-4C2E-BCBD-92946B9E6A58}">
      <text>
        <r>
          <rPr>
            <sz val="9"/>
            <color indexed="81"/>
            <rFont val="Tahoma"/>
            <family val="2"/>
          </rPr>
          <t xml:space="preserve">
The Side Channel Colour 
options are;
Black
Ivory/Classic White
Gray/Earl Gray
White/Snow White</t>
        </r>
      </text>
    </comment>
    <comment ref="T16" authorId="0" shapeId="0" xr:uid="{D0AD06E1-D996-4200-9C56-BF06321DAA6B}">
      <text>
        <r>
          <rPr>
            <sz val="8"/>
            <color indexed="81"/>
            <rFont val="Tahoma"/>
            <family val="2"/>
          </rPr>
          <t>If the Blind m2 is 
oversized, then 
"Check Size" 
will be listed.</t>
        </r>
      </text>
    </comment>
    <comment ref="U16" authorId="0" shapeId="0" xr:uid="{A01B9030-6E8E-4846-A70E-3C1C4D04BD1A}">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6" authorId="0" shapeId="0" xr:uid="{92EA0CAE-9676-430C-B251-7D3031645E92}">
      <text>
        <r>
          <rPr>
            <sz val="8"/>
            <color indexed="81"/>
            <rFont val="Tahoma"/>
            <family val="2"/>
          </rPr>
          <t>Please use this section 
to specify 
any Special Requirements
for the Line/Order.</t>
        </r>
      </text>
    </comment>
    <comment ref="D17" authorId="0" shapeId="0" xr:uid="{51991931-97AB-49FF-8D1E-6A8D57E1ADCA}">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7" authorId="0" shapeId="0" xr:uid="{C59A82B9-E163-4164-BD1E-1C54F19FE982}">
      <text>
        <r>
          <rPr>
            <sz val="8"/>
            <color indexed="81"/>
            <rFont val="Tahoma"/>
            <family val="2"/>
          </rPr>
          <t>Product options are;
25mm Single Cellular Blind
38mm Single Cellular Blind
45mm Single Cellular Blind
38mm Double Cellular Blind
45mm Single Cellular Cell In A Cell Blind</t>
        </r>
      </text>
    </comment>
    <comment ref="F17" authorId="0" shapeId="0" xr:uid="{F872290E-5665-4144-AAF4-35222EBBAE0D}">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7" authorId="0" shapeId="0" xr:uid="{E5433901-2EFE-4845-95FB-442E4789192A}">
      <text>
        <r>
          <rPr>
            <sz val="8"/>
            <color indexed="81"/>
            <rFont val="Tahoma"/>
            <family val="2"/>
          </rPr>
          <t>The Colour is dependent on the 
Fabric option selected. 
For a Day Night Blind, 
this Colour is for the 
Top Blind which can be either 
Blockout or Translucent.</t>
        </r>
      </text>
    </comment>
    <comment ref="H17" authorId="0" shapeId="0" xr:uid="{8D18AE0D-AAEC-4095-8703-28D156BC8BF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7" authorId="0" shapeId="0" xr:uid="{D73E765E-11D6-4253-BB9C-E66DA79C1F4F}">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7" authorId="0" shapeId="0" xr:uid="{C1242392-2D16-4354-B8BE-9F76FC1EE239}">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7" authorId="0" shapeId="0" xr:uid="{07490313-3FF2-43D3-A218-46B78BFDF89F}">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7" authorId="0" shapeId="0" xr:uid="{F20B8E38-A57A-40DA-93E1-D70B2C88BFEA}">
      <text>
        <r>
          <rPr>
            <sz val="8"/>
            <color indexed="81"/>
            <rFont val="Tahoma"/>
            <family val="2"/>
          </rPr>
          <t xml:space="preserve">Recess &amp; NAM must be selected 
when ordering Side Channels. 
The factory will take standard deductions. </t>
        </r>
      </text>
    </comment>
    <comment ref="M17" authorId="0" shapeId="0" xr:uid="{A7DC76DD-0457-450C-99F6-3035A1AB536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7" authorId="0" shapeId="0" xr:uid="{FC46B177-C8BA-48CD-AA67-70FECED384EB}">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7" authorId="0" shapeId="0" xr:uid="{DCD0260F-340D-4692-B886-A3CEBA2FA7BB}">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7" authorId="0" shapeId="0" xr:uid="{FA69F5AB-66DE-4020-A794-49090A93B908}">
      <text>
        <r>
          <rPr>
            <sz val="8"/>
            <color indexed="81"/>
            <rFont val="Tahoma"/>
            <family val="2"/>
          </rPr>
          <t xml:space="preserve">The Motor Power Side options for 
Motors With Power Adapters are;
Left
Right
The Motor Power Side for USB-C 
Power Adaptors must match 
the side of the Wand. </t>
        </r>
      </text>
    </comment>
    <comment ref="R17" authorId="0" shapeId="0" xr:uid="{58C19768-F250-4005-A793-13D1D48E4950}">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7" authorId="1" shapeId="0" xr:uid="{668C1296-4C3E-42A1-A594-7AFEC4EF2D57}">
      <text>
        <r>
          <rPr>
            <sz val="9"/>
            <color indexed="81"/>
            <rFont val="Tahoma"/>
            <family val="2"/>
          </rPr>
          <t xml:space="preserve">
The Side Channel Colour 
options are;
Black
Ivory/Classic White
Gray/Earl Gray
White/Snow White</t>
        </r>
      </text>
    </comment>
    <comment ref="T17" authorId="0" shapeId="0" xr:uid="{F54692C0-E920-4F8D-8A5B-01BE9602D28C}">
      <text>
        <r>
          <rPr>
            <sz val="8"/>
            <color indexed="81"/>
            <rFont val="Tahoma"/>
            <family val="2"/>
          </rPr>
          <t>If the Blind m2 is 
oversized, then 
"Check Size" 
will be listed.</t>
        </r>
      </text>
    </comment>
    <comment ref="U17" authorId="0" shapeId="0" xr:uid="{D3AC2590-BC38-4EF0-8A42-F0B8E514EB29}">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7" authorId="0" shapeId="0" xr:uid="{77984F05-EB49-4191-9494-2D0772EDE267}">
      <text>
        <r>
          <rPr>
            <sz val="8"/>
            <color indexed="81"/>
            <rFont val="Tahoma"/>
            <family val="2"/>
          </rPr>
          <t>Please use this section 
to specify 
any Special Requirements
for the Line/Order.</t>
        </r>
      </text>
    </comment>
    <comment ref="D18" authorId="0" shapeId="0" xr:uid="{D766A1BE-B66D-4D24-B079-304E32D3744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8" authorId="0" shapeId="0" xr:uid="{CF138BDE-9CFF-4DB5-BAC9-E9207928895E}">
      <text>
        <r>
          <rPr>
            <sz val="8"/>
            <color indexed="81"/>
            <rFont val="Tahoma"/>
            <family val="2"/>
          </rPr>
          <t>Product options are;
25mm Single Cellular Blind
38mm Single Cellular Blind
45mm Single Cellular Blind
38mm Double Cellular Blind
45mm Single Cellular Cell In A Cell Blind</t>
        </r>
      </text>
    </comment>
    <comment ref="F18" authorId="0" shapeId="0" xr:uid="{F4403BE6-FA8D-440E-B22E-DE4246215FC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8" authorId="0" shapeId="0" xr:uid="{4C44C8D4-D237-463A-80FF-DDCAC973649B}">
      <text>
        <r>
          <rPr>
            <sz val="8"/>
            <color indexed="81"/>
            <rFont val="Tahoma"/>
            <family val="2"/>
          </rPr>
          <t>The Colour is dependent on the 
Fabric option selected. 
For a Day Night Blind, 
this Colour is for the 
Top Blind which can be either 
Blockout or Translucent.</t>
        </r>
      </text>
    </comment>
    <comment ref="H18" authorId="0" shapeId="0" xr:uid="{3D6435D1-0219-41E8-AE56-CA8092B10BD5}">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8" authorId="0" shapeId="0" xr:uid="{1EE76A0C-0630-441A-A012-975A8C98A022}">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8" authorId="0" shapeId="0" xr:uid="{A51B16BE-D567-4BDF-94E3-4AD4DA6D3A8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8" authorId="0" shapeId="0" xr:uid="{4EA70584-3603-4F47-9AF9-17B299E3A19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8" authorId="0" shapeId="0" xr:uid="{25CCA538-6058-4B37-9D69-49366AD28E0B}">
      <text>
        <r>
          <rPr>
            <sz val="8"/>
            <color indexed="81"/>
            <rFont val="Tahoma"/>
            <family val="2"/>
          </rPr>
          <t xml:space="preserve">Recess &amp; NAM must be selected 
when ordering Side Channels. 
The factory will take standard deductions. </t>
        </r>
      </text>
    </comment>
    <comment ref="M18" authorId="0" shapeId="0" xr:uid="{736E3C59-B721-4DAC-A719-313BDB5C12F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8" authorId="0" shapeId="0" xr:uid="{4967E7A1-3962-4245-AEFF-C698D7FD08E4}">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8" authorId="0" shapeId="0" xr:uid="{A8E3DBC1-884B-4E8D-8DA1-87FD0DC297F5}">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8" authorId="0" shapeId="0" xr:uid="{3C0AB159-E5E1-4C99-A6F8-2E24058896FF}">
      <text>
        <r>
          <rPr>
            <sz val="8"/>
            <color indexed="81"/>
            <rFont val="Tahoma"/>
            <family val="2"/>
          </rPr>
          <t xml:space="preserve">The Motor Power Side options for 
Motors With Power Adapters are;
Left
Right
The Motor Power Side for USB-C 
Power Adaptors must match 
the side of the Wand. </t>
        </r>
      </text>
    </comment>
    <comment ref="R18" authorId="0" shapeId="0" xr:uid="{538ADE2F-40B9-4A19-AF50-E6795068652A}">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8" authorId="1" shapeId="0" xr:uid="{3D4DC876-595C-4863-B4E6-BBE3D220DB2A}">
      <text>
        <r>
          <rPr>
            <sz val="9"/>
            <color indexed="81"/>
            <rFont val="Tahoma"/>
            <family val="2"/>
          </rPr>
          <t xml:space="preserve">
The Side Channel Colour 
options are;
Black
Ivory/Classic White
Gray/Earl Gray
White/Snow White</t>
        </r>
      </text>
    </comment>
    <comment ref="T18" authorId="0" shapeId="0" xr:uid="{5C815378-5DD5-49B2-88FB-466FDE522277}">
      <text>
        <r>
          <rPr>
            <sz val="8"/>
            <color indexed="81"/>
            <rFont val="Tahoma"/>
            <family val="2"/>
          </rPr>
          <t>If the Blind m2 is 
oversized, then 
"Check Size" 
will be listed.</t>
        </r>
      </text>
    </comment>
    <comment ref="U18" authorId="0" shapeId="0" xr:uid="{9F13FE49-A042-456C-A199-047563B0EAC8}">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8" authorId="0" shapeId="0" xr:uid="{5609B030-2AD8-479A-9062-EB47A57DD57A}">
      <text>
        <r>
          <rPr>
            <sz val="8"/>
            <color indexed="81"/>
            <rFont val="Tahoma"/>
            <family val="2"/>
          </rPr>
          <t>Please use this section 
to specify 
any Special Requirements
for the Line/Order.</t>
        </r>
      </text>
    </comment>
    <comment ref="D19" authorId="0" shapeId="0" xr:uid="{7F3503AD-E0CD-49CB-8532-6316C1195A14}">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9" authorId="0" shapeId="0" xr:uid="{11EC151D-DDAA-4E96-BE62-1A5B127E0403}">
      <text>
        <r>
          <rPr>
            <sz val="8"/>
            <color indexed="81"/>
            <rFont val="Tahoma"/>
            <family val="2"/>
          </rPr>
          <t>Product options are;
25mm Single Cellular Blind
38mm Single Cellular Blind
45mm Single Cellular Blind
38mm Double Cellular Blind
45mm Single Cellular Cell In A Cell Blind</t>
        </r>
      </text>
    </comment>
    <comment ref="F19" authorId="0" shapeId="0" xr:uid="{C66FC091-3EB3-43CF-8BC2-4421F2DF3BB4}">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9" authorId="0" shapeId="0" xr:uid="{0F91AEBF-16E9-4882-8CD9-1AE6EDAE598F}">
      <text>
        <r>
          <rPr>
            <sz val="8"/>
            <color indexed="81"/>
            <rFont val="Tahoma"/>
            <family val="2"/>
          </rPr>
          <t>The Colour is dependent on the 
Fabric option selected. 
For a Day Night Blind, 
this Colour is for the 
Top Blind which can be either 
Blockout or Translucent.</t>
        </r>
      </text>
    </comment>
    <comment ref="H19" authorId="0" shapeId="0" xr:uid="{6A7C2C43-DB5B-4E1D-9671-8D6405070DC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9" authorId="0" shapeId="0" xr:uid="{DADAA02D-30BC-49D4-8802-6FD23B3EEEF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9" authorId="0" shapeId="0" xr:uid="{CC52A03B-ED8C-4029-BDB9-746BBE51FBB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9" authorId="0" shapeId="0" xr:uid="{84988C14-92E1-4CA8-B89F-E5E9E79B0A3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9" authorId="0" shapeId="0" xr:uid="{67B29D9D-39C9-4D51-B5E1-97C38329331B}">
      <text>
        <r>
          <rPr>
            <sz val="8"/>
            <color indexed="81"/>
            <rFont val="Tahoma"/>
            <family val="2"/>
          </rPr>
          <t xml:space="preserve">Recess &amp; NAM must be selected 
when ordering Side Channels. 
The factory will take standard deductions. </t>
        </r>
      </text>
    </comment>
    <comment ref="M19" authorId="0" shapeId="0" xr:uid="{6752E2E3-0860-4D7F-984E-F9A6AB7089E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9" authorId="0" shapeId="0" xr:uid="{8FACB6C6-898E-47D9-9A21-FAB2D9B8F507}">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9" authorId="0" shapeId="0" xr:uid="{63A95DF2-C23F-4080-BD7A-F60DC574370F}">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9" authorId="0" shapeId="0" xr:uid="{9CB5E7EC-5794-46C4-A3EE-79DC6E65249B}">
      <text>
        <r>
          <rPr>
            <sz val="8"/>
            <color indexed="81"/>
            <rFont val="Tahoma"/>
            <family val="2"/>
          </rPr>
          <t xml:space="preserve">The Motor Power Side options for 
Motors With Power Adapters are;
Left
Right
The Motor Power Side for USB-C 
Power Adaptors must match 
the side of the Wand. </t>
        </r>
      </text>
    </comment>
    <comment ref="R19" authorId="0" shapeId="0" xr:uid="{E45EE806-D938-4C39-A26B-20815BDC2DD6}">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9" authorId="1" shapeId="0" xr:uid="{2572E3AD-E1B4-4CE2-8A90-638A874F2023}">
      <text>
        <r>
          <rPr>
            <sz val="9"/>
            <color indexed="81"/>
            <rFont val="Tahoma"/>
            <family val="2"/>
          </rPr>
          <t xml:space="preserve">
The Side Channel Colour 
options are;
Black
Ivory/Classic White
Gray/Earl Gray
White/Snow White</t>
        </r>
      </text>
    </comment>
    <comment ref="T19" authorId="0" shapeId="0" xr:uid="{C982B465-8DDD-4DAA-8668-552C1070E155}">
      <text>
        <r>
          <rPr>
            <sz val="8"/>
            <color indexed="81"/>
            <rFont val="Tahoma"/>
            <family val="2"/>
          </rPr>
          <t>If the Blind m2 is 
oversized, then 
"Check Size" 
will be listed.</t>
        </r>
      </text>
    </comment>
    <comment ref="U19" authorId="0" shapeId="0" xr:uid="{E224B31E-C524-4CD5-A279-3ED57FD92C43}">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9" authorId="0" shapeId="0" xr:uid="{64F6FF6E-03E5-496F-A504-F6DB7A7D585B}">
      <text>
        <r>
          <rPr>
            <sz val="8"/>
            <color indexed="81"/>
            <rFont val="Tahoma"/>
            <family val="2"/>
          </rPr>
          <t>Please use this section 
to specify 
any Special Requirements
for the Line/Order.</t>
        </r>
      </text>
    </comment>
    <comment ref="D20" authorId="0" shapeId="0" xr:uid="{BCFCD267-3398-4C56-B127-0B75B41CF4A8}">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0" authorId="0" shapeId="0" xr:uid="{186936D2-0AD2-407D-99F2-78DDCCC7DB18}">
      <text>
        <r>
          <rPr>
            <sz val="8"/>
            <color indexed="81"/>
            <rFont val="Tahoma"/>
            <family val="2"/>
          </rPr>
          <t>Product options are;
25mm Single Cellular Blind
38mm Single Cellular Blind
45mm Single Cellular Blind
38mm Double Cellular Blind
45mm Single Cellular Cell In A Cell Blind</t>
        </r>
      </text>
    </comment>
    <comment ref="F20" authorId="0" shapeId="0" xr:uid="{86058B07-8EDA-438D-A493-7D445976505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0" authorId="0" shapeId="0" xr:uid="{DFC002CA-28AE-474A-9C7C-D55EA6A2E077}">
      <text>
        <r>
          <rPr>
            <sz val="8"/>
            <color indexed="81"/>
            <rFont val="Tahoma"/>
            <family val="2"/>
          </rPr>
          <t>The Colour is dependent on the 
Fabric option selected. 
For a Day Night Blind, 
this Colour is for the 
Top Blind which can be either 
Blockout or Translucent.</t>
        </r>
      </text>
    </comment>
    <comment ref="H20" authorId="0" shapeId="0" xr:uid="{B72DE73F-9C0F-49BA-8D02-71060FFCB453}">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0" authorId="0" shapeId="0" xr:uid="{2ED68527-D253-4DD9-83BC-777C5B35A573}">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0" authorId="0" shapeId="0" xr:uid="{12F2CBB9-4C6A-4D7D-8C59-B58BAEFFFFD7}">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0" authorId="0" shapeId="0" xr:uid="{C83A7984-A4D6-4ABF-AC3A-8BB472F85F00}">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0" authorId="0" shapeId="0" xr:uid="{3BFDD551-8B3F-41F2-8103-5B2CDF8CAB40}">
      <text>
        <r>
          <rPr>
            <sz val="8"/>
            <color indexed="81"/>
            <rFont val="Tahoma"/>
            <family val="2"/>
          </rPr>
          <t xml:space="preserve">Recess &amp; NAM must be selected 
when ordering Side Channels. 
The factory will take standard deductions. </t>
        </r>
      </text>
    </comment>
    <comment ref="M20" authorId="0" shapeId="0" xr:uid="{031EDB63-99F6-4BAA-A078-C62F753E7B0B}">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0" authorId="0" shapeId="0" xr:uid="{0C602A58-4727-43E1-9111-9AD47D22C666}">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0" authorId="0" shapeId="0" xr:uid="{A1715E8D-DC95-46AB-9D97-9DAA44F161D1}">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0" authorId="0" shapeId="0" xr:uid="{A24A6093-C3E2-4D99-9151-B75CB9E677BE}">
      <text>
        <r>
          <rPr>
            <sz val="8"/>
            <color indexed="81"/>
            <rFont val="Tahoma"/>
            <family val="2"/>
          </rPr>
          <t xml:space="preserve">The Motor Power Side options for 
Motors With Power Adapters are;
Left
Right
The Motor Power Side for USB-C 
Power Adaptors must match 
the side of the Wand. </t>
        </r>
      </text>
    </comment>
    <comment ref="R20" authorId="0" shapeId="0" xr:uid="{503EAB32-D226-4B67-9825-7304B3AE965A}">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0" authorId="1" shapeId="0" xr:uid="{F14CE98B-EF49-4FB8-9CD0-5160AD380BBB}">
      <text>
        <r>
          <rPr>
            <sz val="9"/>
            <color indexed="81"/>
            <rFont val="Tahoma"/>
            <family val="2"/>
          </rPr>
          <t xml:space="preserve">
The Side Channel Colour 
options are;
Black
Ivory/Classic White
Gray/Earl Gray
White/Snow White</t>
        </r>
      </text>
    </comment>
    <comment ref="T20" authorId="0" shapeId="0" xr:uid="{0C58E128-DD01-42D1-8A94-33D707C1BF96}">
      <text>
        <r>
          <rPr>
            <sz val="8"/>
            <color indexed="81"/>
            <rFont val="Tahoma"/>
            <family val="2"/>
          </rPr>
          <t>If the Blind m2 is 
oversized, then 
"Check Size" 
will be listed.</t>
        </r>
      </text>
    </comment>
    <comment ref="U20" authorId="0" shapeId="0" xr:uid="{5C7AE26A-9753-43A7-8A2A-9AAA97128CF4}">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0" authorId="0" shapeId="0" xr:uid="{F1FFF6E2-D6D3-4DDE-890D-F4DE4B11834F}">
      <text>
        <r>
          <rPr>
            <sz val="8"/>
            <color indexed="81"/>
            <rFont val="Tahoma"/>
            <family val="2"/>
          </rPr>
          <t>Please use this section 
to specify 
any Special Requirements
for the Line/Order.</t>
        </r>
      </text>
    </comment>
    <comment ref="D21" authorId="0" shapeId="0" xr:uid="{27E005E3-6C00-4EA5-B0ED-59843D317E45}">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1" authorId="0" shapeId="0" xr:uid="{79C91DDA-E1B7-422F-AE07-7F470599891C}">
      <text>
        <r>
          <rPr>
            <sz val="8"/>
            <color indexed="81"/>
            <rFont val="Tahoma"/>
            <family val="2"/>
          </rPr>
          <t>Product options are;
25mm Single Cellular Blind
38mm Single Cellular Blind
45mm Single Cellular Blind
38mm Double Cellular Blind
45mm Single Cellular Cell In A Cell Blind</t>
        </r>
      </text>
    </comment>
    <comment ref="F21" authorId="0" shapeId="0" xr:uid="{3491CBF4-B517-470E-9438-8606CBF29DC9}">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1" authorId="0" shapeId="0" xr:uid="{2FB4E41F-8FCB-4390-AD46-06194820CF3B}">
      <text>
        <r>
          <rPr>
            <sz val="8"/>
            <color indexed="81"/>
            <rFont val="Tahoma"/>
            <family val="2"/>
          </rPr>
          <t>The Colour is dependent on the 
Fabric option selected. 
For a Day Night Blind, 
this Colour is for the 
Top Blind which can be either 
Blockout or Translucent.</t>
        </r>
      </text>
    </comment>
    <comment ref="H21" authorId="0" shapeId="0" xr:uid="{996E343E-1A34-4B31-9A9E-BBDB8263282A}">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1" authorId="0" shapeId="0" xr:uid="{97691D35-CC5B-46EB-983F-516BFBA477D1}">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1" authorId="0" shapeId="0" xr:uid="{54E777C1-BECF-4342-8971-EDB45AC106DA}">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1" authorId="0" shapeId="0" xr:uid="{1EE9972B-43ED-4FF4-9523-C166FBE623EC}">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1" authorId="0" shapeId="0" xr:uid="{F36098B8-376A-4709-A95E-CC5D4F5B2812}">
      <text>
        <r>
          <rPr>
            <sz val="8"/>
            <color indexed="81"/>
            <rFont val="Tahoma"/>
            <family val="2"/>
          </rPr>
          <t xml:space="preserve">Recess &amp; NAM must be selected 
when ordering Side Channels. 
The factory will take standard deductions. </t>
        </r>
      </text>
    </comment>
    <comment ref="M21" authorId="0" shapeId="0" xr:uid="{66C1A2DB-2D9E-4529-945F-6F6BBEBBDDB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1" authorId="0" shapeId="0" xr:uid="{270D1354-1889-4712-8BED-C8C766F93104}">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1" authorId="0" shapeId="0" xr:uid="{1F0E04BD-F342-4D3E-AE09-F36880D705DF}">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1" authorId="0" shapeId="0" xr:uid="{807A92F6-B9E5-4450-BA81-779D3BDEDC48}">
      <text>
        <r>
          <rPr>
            <sz val="8"/>
            <color indexed="81"/>
            <rFont val="Tahoma"/>
            <family val="2"/>
          </rPr>
          <t xml:space="preserve">The Motor Power Side options for 
Motors With Power Adapters are;
Left
Right
The Motor Power Side for USB-C 
Power Adaptors must match 
the side of the Wand. </t>
        </r>
      </text>
    </comment>
    <comment ref="R21" authorId="0" shapeId="0" xr:uid="{6FDA83AF-F979-4F7A-9423-8E91C90E8BD9}">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1" authorId="1" shapeId="0" xr:uid="{595F7893-794F-4D72-9058-C99CD592D17B}">
      <text>
        <r>
          <rPr>
            <sz val="9"/>
            <color indexed="81"/>
            <rFont val="Tahoma"/>
            <family val="2"/>
          </rPr>
          <t xml:space="preserve">
The Side Channel Colour 
options are;
Black
Ivory/Classic White
Gray/Earl Gray
White/Snow White</t>
        </r>
      </text>
    </comment>
    <comment ref="T21" authorId="0" shapeId="0" xr:uid="{80E032AC-2055-4D72-8427-2DE7B4CAB5B7}">
      <text>
        <r>
          <rPr>
            <sz val="8"/>
            <color indexed="81"/>
            <rFont val="Tahoma"/>
            <family val="2"/>
          </rPr>
          <t>If the Blind m2 is 
oversized, then 
"Check Size" 
will be listed.</t>
        </r>
      </text>
    </comment>
    <comment ref="U21" authorId="0" shapeId="0" xr:uid="{3F200030-5BF0-464A-B9A0-B142777B8634}">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1" authorId="0" shapeId="0" xr:uid="{BF9AF739-14E6-41CA-AE40-9167087904DE}">
      <text>
        <r>
          <rPr>
            <sz val="8"/>
            <color indexed="81"/>
            <rFont val="Tahoma"/>
            <family val="2"/>
          </rPr>
          <t>Please use this section 
to specify 
any Special Requirements
for the Line/Order.</t>
        </r>
      </text>
    </comment>
    <comment ref="D22" authorId="0" shapeId="0" xr:uid="{538EF2AD-CDE4-48C8-A6AA-9DCEAFED9A6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2" authorId="0" shapeId="0" xr:uid="{0623FEF9-4D1D-41CF-A63E-345A63753476}">
      <text>
        <r>
          <rPr>
            <sz val="8"/>
            <color indexed="81"/>
            <rFont val="Tahoma"/>
            <family val="2"/>
          </rPr>
          <t>Product options are;
25mm Single Cellular Blind
38mm Single Cellular Blind
45mm Single Cellular Blind
38mm Double Cellular Blind
45mm Single Cellular Cell In A Cell Blind</t>
        </r>
      </text>
    </comment>
    <comment ref="F22" authorId="0" shapeId="0" xr:uid="{47A4FC6C-802E-428B-AC37-1E2B6E9CE40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2" authorId="0" shapeId="0" xr:uid="{38791D8F-1D72-4361-9052-815ED2084A97}">
      <text>
        <r>
          <rPr>
            <sz val="8"/>
            <color indexed="81"/>
            <rFont val="Tahoma"/>
            <family val="2"/>
          </rPr>
          <t>The Colour is dependent on the 
Fabric option selected. 
For a Day Night Blind, 
this Colour is for the 
Top Blind which can be either 
Blockout or Translucent.</t>
        </r>
      </text>
    </comment>
    <comment ref="H22" authorId="0" shapeId="0" xr:uid="{A5C79AF7-99F5-4AEA-B281-416CF0E8850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2" authorId="0" shapeId="0" xr:uid="{649238E5-D6E1-4841-A3A4-A2475A50D0C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2" authorId="0" shapeId="0" xr:uid="{A9C5FDF7-9852-4C77-8DDE-F44AE76601B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2" authorId="0" shapeId="0" xr:uid="{4246F426-8F8D-4BD5-B6B3-70D25155484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2" authorId="0" shapeId="0" xr:uid="{E17983B7-06E1-433A-9026-766990A9550B}">
      <text>
        <r>
          <rPr>
            <sz val="8"/>
            <color indexed="81"/>
            <rFont val="Tahoma"/>
            <family val="2"/>
          </rPr>
          <t xml:space="preserve">Recess &amp; NAM must be selected 
when ordering Side Channels. 
The factory will take standard deductions. </t>
        </r>
      </text>
    </comment>
    <comment ref="M22" authorId="0" shapeId="0" xr:uid="{0B1A4A64-CDC0-48C9-A622-AFF89E29FB51}">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2" authorId="0" shapeId="0" xr:uid="{42113070-8177-4A0A-ADAF-809B300B1B0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2" authorId="0" shapeId="0" xr:uid="{6EECF61A-CAB2-4A1A-B67E-6B18012F7D8E}">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2" authorId="0" shapeId="0" xr:uid="{4D892FA6-8557-4FC7-8B67-2D2DB7ECA084}">
      <text>
        <r>
          <rPr>
            <sz val="8"/>
            <color indexed="81"/>
            <rFont val="Tahoma"/>
            <family val="2"/>
          </rPr>
          <t xml:space="preserve">The Motor Power Side options for 
Motors With Power Adapters are;
Left
Right
The Motor Power Side for USB-C 
Power Adaptors must match 
the side of the Wand. </t>
        </r>
      </text>
    </comment>
    <comment ref="R22" authorId="0" shapeId="0" xr:uid="{9611C3DC-C847-4BC7-A4D0-46CC328CDC3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2" authorId="1" shapeId="0" xr:uid="{20DF2A2B-A05F-474E-B2FA-3BCE7334B1C2}">
      <text>
        <r>
          <rPr>
            <sz val="9"/>
            <color indexed="81"/>
            <rFont val="Tahoma"/>
            <family val="2"/>
          </rPr>
          <t xml:space="preserve">
The Side Channel Colour 
options are;
Black
Ivory/Classic White
Gray/Earl Gray
White/Snow White</t>
        </r>
      </text>
    </comment>
    <comment ref="T22" authorId="0" shapeId="0" xr:uid="{EF529ED0-7B59-4047-90C8-6DCDD7C941B4}">
      <text>
        <r>
          <rPr>
            <sz val="8"/>
            <color indexed="81"/>
            <rFont val="Tahoma"/>
            <family val="2"/>
          </rPr>
          <t>If the Blind m2 is 
oversized, then 
"Check Size" 
will be listed.</t>
        </r>
      </text>
    </comment>
    <comment ref="U22" authorId="0" shapeId="0" xr:uid="{DAC90A7C-3B8D-483F-A293-6B3EB710BB32}">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2" authorId="0" shapeId="0" xr:uid="{EEF5553A-B54A-4B52-AE79-7FF4B8F8C3DD}">
      <text>
        <r>
          <rPr>
            <sz val="8"/>
            <color indexed="81"/>
            <rFont val="Tahoma"/>
            <family val="2"/>
          </rPr>
          <t>Please use this section 
to specify 
any Special Requirements
for the Line/Order.</t>
        </r>
      </text>
    </comment>
    <comment ref="D23" authorId="0" shapeId="0" xr:uid="{3A5DAA4B-D8BE-4D0F-881F-61E5D581DF8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3" authorId="0" shapeId="0" xr:uid="{ABDF9EC7-728B-403A-9336-C3C9ED23FB32}">
      <text>
        <r>
          <rPr>
            <sz val="8"/>
            <color indexed="81"/>
            <rFont val="Tahoma"/>
            <family val="2"/>
          </rPr>
          <t>Product options are;
25mm Single Cellular Blind
38mm Single Cellular Blind
45mm Single Cellular Blind
38mm Double Cellular Blind
45mm Single Cellular Cell In A Cell Blind</t>
        </r>
      </text>
    </comment>
    <comment ref="F23" authorId="0" shapeId="0" xr:uid="{CEF0AE85-DAEF-4FF7-89A8-2AD9D117CF1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3" authorId="0" shapeId="0" xr:uid="{420FAB02-1512-401E-826E-38C907788BFD}">
      <text>
        <r>
          <rPr>
            <sz val="8"/>
            <color indexed="81"/>
            <rFont val="Tahoma"/>
            <family val="2"/>
          </rPr>
          <t>The Colour is dependent on the 
Fabric option selected. 
For a Day Night Blind, 
this Colour is for the 
Top Blind which can be either 
Blockout or Translucent.</t>
        </r>
      </text>
    </comment>
    <comment ref="H23" authorId="0" shapeId="0" xr:uid="{5CF28C0B-373F-4EBA-BB69-D92D21883AD3}">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3" authorId="0" shapeId="0" xr:uid="{0E7F4B27-930E-4C11-9A6A-820D991A847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3" authorId="0" shapeId="0" xr:uid="{0B2DCBF3-AC31-4C28-8787-15D75CF7E1F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3" authorId="0" shapeId="0" xr:uid="{9088CD3F-D5A3-4557-A730-F0B95FD10011}">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3" authorId="0" shapeId="0" xr:uid="{61D24EDF-2AB4-4041-AE40-D574575C7118}">
      <text>
        <r>
          <rPr>
            <sz val="8"/>
            <color indexed="81"/>
            <rFont val="Tahoma"/>
            <family val="2"/>
          </rPr>
          <t xml:space="preserve">Recess &amp; NAM must be selected 
when ordering Side Channels. 
The factory will take standard deductions. </t>
        </r>
      </text>
    </comment>
    <comment ref="M23" authorId="0" shapeId="0" xr:uid="{701101C0-6445-4D7E-AEC2-02C4FC6E4B63}">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3" authorId="0" shapeId="0" xr:uid="{BA0DBF7D-FF73-4C56-A1E1-5A3BAF6F656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3" authorId="0" shapeId="0" xr:uid="{3A69A6CA-484C-46BD-9D7E-4F68C0A48E36}">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3" authorId="0" shapeId="0" xr:uid="{18D8785D-01F6-4FBE-B9FF-B74E9435FF00}">
      <text>
        <r>
          <rPr>
            <sz val="8"/>
            <color indexed="81"/>
            <rFont val="Tahoma"/>
            <family val="2"/>
          </rPr>
          <t xml:space="preserve">The Motor Power Side options for 
Motors With Power Adapters are;
Left
Right
The Motor Power Side for USB-C 
Power Adaptors must match 
the side of the Wand. </t>
        </r>
      </text>
    </comment>
    <comment ref="R23" authorId="0" shapeId="0" xr:uid="{6C8AD035-AC63-49A3-83DA-AB21E94DD560}">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3" authorId="1" shapeId="0" xr:uid="{0AE974E7-0152-4B1E-AD03-D2D1F4E745B9}">
      <text>
        <r>
          <rPr>
            <sz val="9"/>
            <color indexed="81"/>
            <rFont val="Tahoma"/>
            <family val="2"/>
          </rPr>
          <t xml:space="preserve">
The Side Channel Colour 
options are;
Black
Ivory/Classic White
Gray/Earl Gray
White/Snow White</t>
        </r>
      </text>
    </comment>
    <comment ref="T23" authorId="0" shapeId="0" xr:uid="{5BEBD62F-2A10-407D-82D4-6387B05653A2}">
      <text>
        <r>
          <rPr>
            <sz val="8"/>
            <color indexed="81"/>
            <rFont val="Tahoma"/>
            <family val="2"/>
          </rPr>
          <t>If the Blind m2 is 
oversized, then 
"Check Size" 
will be listed.</t>
        </r>
      </text>
    </comment>
    <comment ref="U23" authorId="0" shapeId="0" xr:uid="{349F0273-348D-4E20-A2B3-F2B721C1B58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3" authorId="0" shapeId="0" xr:uid="{220841F0-414F-4AC1-8C39-56B0F0F1423D}">
      <text>
        <r>
          <rPr>
            <sz val="8"/>
            <color indexed="81"/>
            <rFont val="Tahoma"/>
            <family val="2"/>
          </rPr>
          <t>Please use this section 
to specify 
any Special Requirements
for the Line/Order.</t>
        </r>
      </text>
    </comment>
    <comment ref="D24" authorId="0" shapeId="0" xr:uid="{757205EE-076D-4499-BD45-F1530D1B4301}">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4" authorId="0" shapeId="0" xr:uid="{779FBE0B-6FE4-4AAB-8DD5-9C8355A728B2}">
      <text>
        <r>
          <rPr>
            <sz val="8"/>
            <color indexed="81"/>
            <rFont val="Tahoma"/>
            <family val="2"/>
          </rPr>
          <t>Product options are;
25mm Single Cellular Blind
38mm Single Cellular Blind
45mm Single Cellular Blind
38mm Double Cellular Blind
45mm Single Cellular Cell In A Cell Blind</t>
        </r>
      </text>
    </comment>
    <comment ref="F24" authorId="0" shapeId="0" xr:uid="{C9D6B665-950D-4016-8463-2CD75D756AB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4" authorId="0" shapeId="0" xr:uid="{E65F872C-F791-4FF1-9903-8E615701DE4B}">
      <text>
        <r>
          <rPr>
            <sz val="8"/>
            <color indexed="81"/>
            <rFont val="Tahoma"/>
            <family val="2"/>
          </rPr>
          <t>The Colour is dependent on the 
Fabric option selected. 
For a Day Night Blind, 
this Colour is for the 
Top Blind which can be either 
Blockout or Translucent.</t>
        </r>
      </text>
    </comment>
    <comment ref="H24" authorId="0" shapeId="0" xr:uid="{79D25DEB-AA7E-4A7E-AFAA-AD4680D48635}">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4" authorId="0" shapeId="0" xr:uid="{E5261586-09C3-4618-9069-0EBC878272C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4" authorId="0" shapeId="0" xr:uid="{A5E000D3-58D3-4D28-812C-E8BFAF3845A1}">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4" authorId="0" shapeId="0" xr:uid="{41288CA6-27BF-4A59-9618-2CFF0E7E6FB2}">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4" authorId="0" shapeId="0" xr:uid="{0B465618-BEB4-4773-95C9-5051D1FD04E2}">
      <text>
        <r>
          <rPr>
            <sz val="8"/>
            <color indexed="81"/>
            <rFont val="Tahoma"/>
            <family val="2"/>
          </rPr>
          <t xml:space="preserve">Recess &amp; NAM must be selected 
when ordering Side Channels. 
The factory will take standard deductions. </t>
        </r>
      </text>
    </comment>
    <comment ref="M24" authorId="0" shapeId="0" xr:uid="{63390969-E10D-4211-8B8F-DAB3FE1555EE}">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4" authorId="0" shapeId="0" xr:uid="{23FC81DB-B795-4EF0-9488-4F6A82CC911E}">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4" authorId="0" shapeId="0" xr:uid="{36687205-38B3-4AAB-AC51-E99BDB40FC67}">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4" authorId="0" shapeId="0" xr:uid="{B39101EE-B4C7-4022-B89B-20827A521DDD}">
      <text>
        <r>
          <rPr>
            <sz val="8"/>
            <color indexed="81"/>
            <rFont val="Tahoma"/>
            <family val="2"/>
          </rPr>
          <t xml:space="preserve">The Motor Power Side options for 
Motors With Power Adapters are;
Left
Right
The Motor Power Side for USB-C 
Power Adaptors must match 
the side of the Wand. </t>
        </r>
      </text>
    </comment>
    <comment ref="R24" authorId="0" shapeId="0" xr:uid="{C610FCCF-3FC0-446C-866D-E16B72CF97B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4" authorId="1" shapeId="0" xr:uid="{A6BF98EB-CD90-4473-A9AF-ED1C06EA2F84}">
      <text>
        <r>
          <rPr>
            <sz val="9"/>
            <color indexed="81"/>
            <rFont val="Tahoma"/>
            <family val="2"/>
          </rPr>
          <t xml:space="preserve">
The Side Channel Colour 
options are;
Black
Ivory/Classic White
Gray/Earl Gray
White/Snow White</t>
        </r>
      </text>
    </comment>
    <comment ref="T24" authorId="0" shapeId="0" xr:uid="{DE56786D-152E-4CB5-920D-4BEF2AF0D1FB}">
      <text>
        <r>
          <rPr>
            <sz val="8"/>
            <color indexed="81"/>
            <rFont val="Tahoma"/>
            <family val="2"/>
          </rPr>
          <t>If the Blind m2 is 
oversized, then 
"Check Size" 
will be listed.</t>
        </r>
      </text>
    </comment>
    <comment ref="U24" authorId="0" shapeId="0" xr:uid="{3B756C45-A84A-4E86-90A1-D419D73D1A75}">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4" authorId="0" shapeId="0" xr:uid="{019603B0-7C25-4B21-B809-F20BB9CBBCFA}">
      <text>
        <r>
          <rPr>
            <sz val="8"/>
            <color indexed="81"/>
            <rFont val="Tahoma"/>
            <family val="2"/>
          </rPr>
          <t>Please use this section 
to specify 
any Special Requirements
for the Line/Order.</t>
        </r>
      </text>
    </comment>
    <comment ref="D25" authorId="0" shapeId="0" xr:uid="{ACD69257-41D5-468E-A5A6-77F62D55044A}">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5" authorId="0" shapeId="0" xr:uid="{86F669C6-3D1D-49C3-90FE-6E2C1D010262}">
      <text>
        <r>
          <rPr>
            <sz val="8"/>
            <color indexed="81"/>
            <rFont val="Tahoma"/>
            <family val="2"/>
          </rPr>
          <t>Product options are;
25mm Single Cellular Blind
38mm Single Cellular Blind
45mm Single Cellular Blind
38mm Double Cellular Blind
45mm Single Cellular Cell In A Cell Blind</t>
        </r>
      </text>
    </comment>
    <comment ref="F25" authorId="0" shapeId="0" xr:uid="{26CD082F-0B77-4BEC-AFCD-F7F4A0343C8B}">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5" authorId="0" shapeId="0" xr:uid="{0A6FD27F-8106-4D55-B05E-0B5FD0BB77D1}">
      <text>
        <r>
          <rPr>
            <sz val="8"/>
            <color indexed="81"/>
            <rFont val="Tahoma"/>
            <family val="2"/>
          </rPr>
          <t>The Colour is dependent on the 
Fabric option selected. 
For a Day Night Blind, 
this Colour is for the 
Top Blind which can be either 
Blockout or Translucent.</t>
        </r>
      </text>
    </comment>
    <comment ref="H25" authorId="0" shapeId="0" xr:uid="{D96C2CA6-4755-423C-931B-4CD2A6AE4C8D}">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5" authorId="0" shapeId="0" xr:uid="{8B0EF322-708D-4979-84F0-F7D320066CEE}">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5" authorId="0" shapeId="0" xr:uid="{4A45A416-806D-4707-85F3-97769B861EB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5" authorId="0" shapeId="0" xr:uid="{DE623148-860B-41B3-9208-4A6444B9FE12}">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5" authorId="0" shapeId="0" xr:uid="{F81796BE-2F3E-4887-952F-4FAEEACCFB9B}">
      <text>
        <r>
          <rPr>
            <sz val="8"/>
            <color indexed="81"/>
            <rFont val="Tahoma"/>
            <family val="2"/>
          </rPr>
          <t xml:space="preserve">Recess &amp; NAM must be selected 
when ordering Side Channels. 
The factory will take standard deductions. </t>
        </r>
      </text>
    </comment>
    <comment ref="M25" authorId="0" shapeId="0" xr:uid="{8FC8C072-ADCD-4EFB-A66A-7DD727AAED0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5" authorId="0" shapeId="0" xr:uid="{F2DF1402-818F-4C6F-A4A6-BC2A985ECA9D}">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5" authorId="0" shapeId="0" xr:uid="{67A2B2F1-EE30-4B33-9F3D-9BA16A131669}">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5" authorId="0" shapeId="0" xr:uid="{B4590555-4230-4618-AFB1-D8AADB931EAA}">
      <text>
        <r>
          <rPr>
            <sz val="8"/>
            <color indexed="81"/>
            <rFont val="Tahoma"/>
            <family val="2"/>
          </rPr>
          <t xml:space="preserve">The Motor Power Side options for 
Motors With Power Adapters are;
Left
Right
The Motor Power Side for USB-C 
Power Adaptors must match 
the side of the Wand. </t>
        </r>
      </text>
    </comment>
    <comment ref="R25" authorId="0" shapeId="0" xr:uid="{2E1FE142-7B64-45CF-9DA5-CEFD9FDED7EC}">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5" authorId="1" shapeId="0" xr:uid="{DD705C61-7A76-4EC1-BD0D-9A44C6621D32}">
      <text>
        <r>
          <rPr>
            <sz val="9"/>
            <color indexed="81"/>
            <rFont val="Tahoma"/>
            <family val="2"/>
          </rPr>
          <t xml:space="preserve">
The Side Channel Colour 
options are;
Black
Ivory/Classic White
Gray/Earl Gray
White/Snow White</t>
        </r>
      </text>
    </comment>
    <comment ref="T25" authorId="0" shapeId="0" xr:uid="{257C0AF7-1572-409E-BBC8-C1DEF2616061}">
      <text>
        <r>
          <rPr>
            <sz val="8"/>
            <color indexed="81"/>
            <rFont val="Tahoma"/>
            <family val="2"/>
          </rPr>
          <t>If the Blind m2 is 
oversized, then 
"Check Size" 
will be listed.</t>
        </r>
      </text>
    </comment>
    <comment ref="U25" authorId="0" shapeId="0" xr:uid="{C5EF0DAB-0B20-4015-92C5-7A1B0540E6A4}">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5" authorId="0" shapeId="0" xr:uid="{58090488-C53A-4B67-BEE7-8D6D14E2B131}">
      <text>
        <r>
          <rPr>
            <sz val="8"/>
            <color indexed="81"/>
            <rFont val="Tahoma"/>
            <family val="2"/>
          </rPr>
          <t>Please use this section 
to specify 
any Special Requirements
for the Line/Order.</t>
        </r>
      </text>
    </comment>
    <comment ref="D26" authorId="0" shapeId="0" xr:uid="{B7E8EC1D-1DA8-49FA-A5FB-9488439ED3D3}">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6" authorId="0" shapeId="0" xr:uid="{8BC593A8-12EB-48E0-90FE-0B4FEA06CF06}">
      <text>
        <r>
          <rPr>
            <sz val="8"/>
            <color indexed="81"/>
            <rFont val="Tahoma"/>
            <family val="2"/>
          </rPr>
          <t>Product options are;
25mm Single Cellular Blind
38mm Single Cellular Blind
45mm Single Cellular Blind
38mm Double Cellular Blind
45mm Single Cellular Cell In A Cell Blind</t>
        </r>
      </text>
    </comment>
    <comment ref="F26" authorId="0" shapeId="0" xr:uid="{7297D521-F201-4D5B-8DCD-8C03A986498D}">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6" authorId="0" shapeId="0" xr:uid="{0FB1B165-3D7E-43CA-BBD6-8FCEE174F971}">
      <text>
        <r>
          <rPr>
            <sz val="8"/>
            <color indexed="81"/>
            <rFont val="Tahoma"/>
            <family val="2"/>
          </rPr>
          <t>The Colour is dependent on the 
Fabric option selected. 
For a Day Night Blind, 
this Colour is for the 
Top Blind which can be either 
Blockout or Translucent.</t>
        </r>
      </text>
    </comment>
    <comment ref="H26" authorId="0" shapeId="0" xr:uid="{9E05495C-FF89-4051-9A16-04B1AD43A3E2}">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6" authorId="0" shapeId="0" xr:uid="{B0A2E2D7-FEF8-41E6-A40F-32BA8F229427}">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6" authorId="0" shapeId="0" xr:uid="{3E491C71-8FF6-44DC-B538-30EE4BFEDD6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6" authorId="0" shapeId="0" xr:uid="{DFFB6BDD-B702-4E73-8115-1030AA69CD3E}">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6" authorId="0" shapeId="0" xr:uid="{0AB3BC83-8E58-48DC-942A-DF926E97E18F}">
      <text>
        <r>
          <rPr>
            <sz val="8"/>
            <color indexed="81"/>
            <rFont val="Tahoma"/>
            <family val="2"/>
          </rPr>
          <t xml:space="preserve">Recess &amp; NAM must be selected 
when ordering Side Channels. 
The factory will take standard deductions. </t>
        </r>
      </text>
    </comment>
    <comment ref="M26" authorId="0" shapeId="0" xr:uid="{AB7545B1-5208-47D5-B19D-398DA5AA19CC}">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6" authorId="0" shapeId="0" xr:uid="{35035BAE-96CF-439A-8AF0-AD2739451F08}">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6" authorId="0" shapeId="0" xr:uid="{28F9C4A4-62BB-4B19-BEB4-501A6BF1201E}">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6" authorId="0" shapeId="0" xr:uid="{E0771860-7D52-4D7E-9CBE-BDEA314E6BAC}">
      <text>
        <r>
          <rPr>
            <sz val="8"/>
            <color indexed="81"/>
            <rFont val="Tahoma"/>
            <family val="2"/>
          </rPr>
          <t xml:space="preserve">The Motor Power Side options for 
Motors With Power Adapters are;
Left
Right
The Motor Power Side for USB-C 
Power Adaptors must match 
the side of the Wand. </t>
        </r>
      </text>
    </comment>
    <comment ref="R26" authorId="0" shapeId="0" xr:uid="{A965E032-8FEA-4A91-9980-B837CD60DA0F}">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6" authorId="1" shapeId="0" xr:uid="{B23D14F1-8FC3-4DD6-BA8A-793423521923}">
      <text>
        <r>
          <rPr>
            <sz val="9"/>
            <color indexed="81"/>
            <rFont val="Tahoma"/>
            <family val="2"/>
          </rPr>
          <t xml:space="preserve">
The Side Channel Colour 
options are;
Black
Ivory/Classic White
Gray/Earl Gray
White/Snow White</t>
        </r>
      </text>
    </comment>
    <comment ref="T26" authorId="0" shapeId="0" xr:uid="{84231AAF-1638-43E5-9FF5-6C5C615BF29B}">
      <text>
        <r>
          <rPr>
            <sz val="8"/>
            <color indexed="81"/>
            <rFont val="Tahoma"/>
            <family val="2"/>
          </rPr>
          <t>If the Blind m2 is 
oversized, then 
"Check Size" 
will be listed.</t>
        </r>
      </text>
    </comment>
    <comment ref="U26" authorId="0" shapeId="0" xr:uid="{445327AA-3A7B-4C4F-9E94-8AC97E3E7DF7}">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6" authorId="0" shapeId="0" xr:uid="{D89443F6-85E5-48D2-A90D-14B93EC44468}">
      <text>
        <r>
          <rPr>
            <sz val="8"/>
            <color indexed="81"/>
            <rFont val="Tahoma"/>
            <family val="2"/>
          </rPr>
          <t>Please use this section 
to specify 
any Special Requirements
for the Line/Order.</t>
        </r>
      </text>
    </comment>
    <comment ref="D27" authorId="0" shapeId="0" xr:uid="{9D96458F-20F1-4503-9245-E04885D3CBD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7" authorId="0" shapeId="0" xr:uid="{CFAB7E8C-5E57-4D33-AFC6-B402D8EC43B8}">
      <text>
        <r>
          <rPr>
            <sz val="8"/>
            <color indexed="81"/>
            <rFont val="Tahoma"/>
            <family val="2"/>
          </rPr>
          <t>Product options are;
25mm Single Cellular Blind
38mm Single Cellular Blind
45mm Single Cellular Blind
38mm Double Cellular Blind
45mm Single Cellular Cell In A Cell Blind</t>
        </r>
      </text>
    </comment>
    <comment ref="F27" authorId="0" shapeId="0" xr:uid="{B531E5AE-6CF0-4047-877A-659F25380C9D}">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7" authorId="0" shapeId="0" xr:uid="{529435D7-4406-41C6-A311-5AB285CC6544}">
      <text>
        <r>
          <rPr>
            <sz val="8"/>
            <color indexed="81"/>
            <rFont val="Tahoma"/>
            <family val="2"/>
          </rPr>
          <t>The Colour is dependent on the 
Fabric option selected. 
For a Day Night Blind, 
this Colour is for the 
Top Blind which can be either 
Blockout or Translucent.</t>
        </r>
      </text>
    </comment>
    <comment ref="H27" authorId="0" shapeId="0" xr:uid="{2FD7BBA1-5E7F-4415-8D3F-CBA2ABDB92D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7" authorId="0" shapeId="0" xr:uid="{A527E7E5-67DF-4DCB-B043-64F559BF2A3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7" authorId="0" shapeId="0" xr:uid="{7E3BCC95-12BE-4F29-B765-CE74727574EB}">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7" authorId="0" shapeId="0" xr:uid="{01E74BB5-4E59-41C3-A90B-C9EBAE3FE359}">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7" authorId="0" shapeId="0" xr:uid="{04959739-A708-41CA-934E-05C725872D84}">
      <text>
        <r>
          <rPr>
            <sz val="8"/>
            <color indexed="81"/>
            <rFont val="Tahoma"/>
            <family val="2"/>
          </rPr>
          <t xml:space="preserve">Recess &amp; NAM must be selected 
when ordering Side Channels. 
The factory will take standard deductions. </t>
        </r>
      </text>
    </comment>
    <comment ref="M27" authorId="0" shapeId="0" xr:uid="{23B9891D-3CE7-4683-9590-67D8B192261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7" authorId="0" shapeId="0" xr:uid="{1C47FD49-DEFC-4618-B9CB-E53F8E38645E}">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7" authorId="0" shapeId="0" xr:uid="{15107BCC-FE5D-40BE-B6D3-35F8B6CF2D4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7" authorId="0" shapeId="0" xr:uid="{4E4C463A-EF1D-4751-9AB0-33ABDFAE7A39}">
      <text>
        <r>
          <rPr>
            <sz val="8"/>
            <color indexed="81"/>
            <rFont val="Tahoma"/>
            <family val="2"/>
          </rPr>
          <t xml:space="preserve">The Motor Power Side options for 
Motors With Power Adapters are;
Left
Right
The Motor Power Side for USB-C 
Power Adaptors must match 
the side of the Wand. </t>
        </r>
      </text>
    </comment>
    <comment ref="R27" authorId="0" shapeId="0" xr:uid="{A5A614BE-8519-4C23-A310-4F374317AE8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7" authorId="1" shapeId="0" xr:uid="{A1AF8E60-A58D-4BDE-8DB3-19DC4E005D5D}">
      <text>
        <r>
          <rPr>
            <sz val="9"/>
            <color indexed="81"/>
            <rFont val="Tahoma"/>
            <family val="2"/>
          </rPr>
          <t xml:space="preserve">
The Side Channel Colour 
options are;
Black
Ivory/Classic White
Gray/Earl Gray
White/Snow White</t>
        </r>
      </text>
    </comment>
    <comment ref="T27" authorId="0" shapeId="0" xr:uid="{A4C0A4BD-29B4-4FD4-B159-9FFB0FCC33DD}">
      <text>
        <r>
          <rPr>
            <sz val="8"/>
            <color indexed="81"/>
            <rFont val="Tahoma"/>
            <family val="2"/>
          </rPr>
          <t>If the Blind m2 is 
oversized, then 
"Check Size" 
will be listed.</t>
        </r>
      </text>
    </comment>
    <comment ref="U27" authorId="0" shapeId="0" xr:uid="{08CA29FB-D4EE-436E-B95A-6CE1E286F1F3}">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7" authorId="0" shapeId="0" xr:uid="{B38E237D-F77B-43E2-8D38-5A6A70C47AB8}">
      <text>
        <r>
          <rPr>
            <sz val="8"/>
            <color indexed="81"/>
            <rFont val="Tahoma"/>
            <family val="2"/>
          </rPr>
          <t>Please use this section 
to specify 
any Special Requirements
for the Line/Order.</t>
        </r>
      </text>
    </comment>
    <comment ref="D28" authorId="0" shapeId="0" xr:uid="{DC882070-9706-4B41-B791-6DD7872E35E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8" authorId="0" shapeId="0" xr:uid="{D0D17E1B-4CD3-437F-ACD5-4C71405AF682}">
      <text>
        <r>
          <rPr>
            <sz val="8"/>
            <color indexed="81"/>
            <rFont val="Tahoma"/>
            <family val="2"/>
          </rPr>
          <t>Product options are;
25mm Single Cellular Blind
38mm Single Cellular Blind
45mm Single Cellular Blind
38mm Double Cellular Blind
45mm Single Cellular Cell In A Cell Blind</t>
        </r>
      </text>
    </comment>
    <comment ref="F28" authorId="0" shapeId="0" xr:uid="{4E480E65-FA41-4F89-84E4-3A66AA395FB5}">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8" authorId="0" shapeId="0" xr:uid="{859EEC27-C3AC-4C2B-AF5F-A9D7BA55F0B7}">
      <text>
        <r>
          <rPr>
            <sz val="8"/>
            <color indexed="81"/>
            <rFont val="Tahoma"/>
            <family val="2"/>
          </rPr>
          <t>The Colour is dependent on the 
Fabric option selected. 
For a Day Night Blind, 
this Colour is for the 
Top Blind which can be either 
Blockout or Translucent.</t>
        </r>
      </text>
    </comment>
    <comment ref="H28" authorId="0" shapeId="0" xr:uid="{D9C0D37A-9C8C-4CAB-9169-01B79E51C2A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8" authorId="0" shapeId="0" xr:uid="{DC9246E7-0686-4971-AF47-A6F83447B10D}">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8" authorId="0" shapeId="0" xr:uid="{C0B2FD72-3C81-419F-9634-5714EF0CE53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8" authorId="0" shapeId="0" xr:uid="{846A53A6-F1C7-4DBA-A184-EA77CD3E74AA}">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8" authorId="0" shapeId="0" xr:uid="{ACD41C01-8147-40E5-9568-CBABFCA0AA7B}">
      <text>
        <r>
          <rPr>
            <sz val="8"/>
            <color indexed="81"/>
            <rFont val="Tahoma"/>
            <family val="2"/>
          </rPr>
          <t xml:space="preserve">Recess &amp; NAM must be selected 
when ordering Side Channels. 
The factory will take standard deductions. </t>
        </r>
      </text>
    </comment>
    <comment ref="M28" authorId="0" shapeId="0" xr:uid="{2719B058-9C67-465C-A112-AD09BFE7867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8" authorId="0" shapeId="0" xr:uid="{D25BDF3B-EBE8-48DF-AA3C-514A645A4A00}">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8" authorId="0" shapeId="0" xr:uid="{72838711-31D1-4FC7-BEA1-09229AA33FE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8" authorId="0" shapeId="0" xr:uid="{AB2D1C0F-B54F-42C8-B837-4DA8B8408590}">
      <text>
        <r>
          <rPr>
            <sz val="8"/>
            <color indexed="81"/>
            <rFont val="Tahoma"/>
            <family val="2"/>
          </rPr>
          <t xml:space="preserve">The Motor Power Side options for 
Motors With Power Adapters are;
Left
Right
The Motor Power Side for USB-C 
Power Adaptors must match 
the side of the Wand. </t>
        </r>
      </text>
    </comment>
    <comment ref="R28" authorId="0" shapeId="0" xr:uid="{C7281E18-84E5-4F17-ACF3-0695DE817B79}">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8" authorId="1" shapeId="0" xr:uid="{A25D72D1-7C8C-41ED-BACF-11947D7767B5}">
      <text>
        <r>
          <rPr>
            <sz val="9"/>
            <color indexed="81"/>
            <rFont val="Tahoma"/>
            <family val="2"/>
          </rPr>
          <t xml:space="preserve">
The Side Channel Colour 
options are;
Black
Ivory/Classic White
Gray/Earl Gray
White/Snow White</t>
        </r>
      </text>
    </comment>
    <comment ref="T28" authorId="0" shapeId="0" xr:uid="{61901529-8C26-4879-B4D4-4BA5FA1E1759}">
      <text>
        <r>
          <rPr>
            <sz val="8"/>
            <color indexed="81"/>
            <rFont val="Tahoma"/>
            <family val="2"/>
          </rPr>
          <t>If the Blind m2 is 
oversized, then 
"Check Size" 
will be listed.</t>
        </r>
      </text>
    </comment>
    <comment ref="U28" authorId="0" shapeId="0" xr:uid="{2FAEDC67-2F9A-4F41-A7B1-ABB9219A6F11}">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8" authorId="0" shapeId="0" xr:uid="{43CA583C-85C5-47A5-BAB0-6F05B36DF8F2}">
      <text>
        <r>
          <rPr>
            <sz val="8"/>
            <color indexed="81"/>
            <rFont val="Tahoma"/>
            <family val="2"/>
          </rPr>
          <t>Please use this section 
to specify 
any Special Requirements
for the Line/Order.</t>
        </r>
      </text>
    </comment>
    <comment ref="D29" authorId="0" shapeId="0" xr:uid="{DF666A4F-C57F-4C1C-87A4-FEB3FC4EAE31}">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9" authorId="0" shapeId="0" xr:uid="{67A1C6B8-35F8-4FD9-9559-B5E43CA0F754}">
      <text>
        <r>
          <rPr>
            <sz val="8"/>
            <color indexed="81"/>
            <rFont val="Tahoma"/>
            <family val="2"/>
          </rPr>
          <t>Product options are;
25mm Single Cellular Blind
38mm Single Cellular Blind
45mm Single Cellular Blind
38mm Double Cellular Blind
45mm Single Cellular Cell In A Cell Blind</t>
        </r>
      </text>
    </comment>
    <comment ref="F29" authorId="0" shapeId="0" xr:uid="{030D29CF-364B-4841-8B5B-A24E36ACA1FA}">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9" authorId="0" shapeId="0" xr:uid="{ACA99525-6DD8-41A1-B680-FEFA4E5DB210}">
      <text>
        <r>
          <rPr>
            <sz val="8"/>
            <color indexed="81"/>
            <rFont val="Tahoma"/>
            <family val="2"/>
          </rPr>
          <t>The Colour is dependent on the 
Fabric option selected. 
For a Day Night Blind, 
this Colour is for the 
Top Blind which can be either 
Blockout or Translucent.</t>
        </r>
      </text>
    </comment>
    <comment ref="H29" authorId="0" shapeId="0" xr:uid="{0101F6B6-10A6-434D-B2AC-BA98FF46683F}">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9" authorId="0" shapeId="0" xr:uid="{5A8D3E3C-7DEF-4E28-94D3-E4C7A005C0EF}">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9" authorId="0" shapeId="0" xr:uid="{463797A6-B2A5-4E34-8703-33B5FD72B8AA}">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9" authorId="0" shapeId="0" xr:uid="{9B06188B-8E79-42AD-9D4D-83E260449C36}">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9" authorId="0" shapeId="0" xr:uid="{0BF93112-7874-40E9-BCA7-CC585D653EA9}">
      <text>
        <r>
          <rPr>
            <sz val="8"/>
            <color indexed="81"/>
            <rFont val="Tahoma"/>
            <family val="2"/>
          </rPr>
          <t xml:space="preserve">Recess &amp; NAM must be selected 
when ordering Side Channels. 
The factory will take standard deductions. </t>
        </r>
      </text>
    </comment>
    <comment ref="M29" authorId="0" shapeId="0" xr:uid="{B0D80D0D-5F99-4510-8F1E-59516FDEDC3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9" authorId="0" shapeId="0" xr:uid="{FC5FD31D-8142-462E-B7D5-0625A59C99A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9" authorId="0" shapeId="0" xr:uid="{1BD88F20-EDCD-4811-95F9-AAB4D3BA86B1}">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9" authorId="0" shapeId="0" xr:uid="{D5F06EE5-F514-4E1F-AE93-15C4662F30E9}">
      <text>
        <r>
          <rPr>
            <sz val="8"/>
            <color indexed="81"/>
            <rFont val="Tahoma"/>
            <family val="2"/>
          </rPr>
          <t xml:space="preserve">The Motor Power Side options for 
Motors With Power Adapters are;
Left
Right
The Motor Power Side for USB-C 
Power Adaptors must match 
the side of the Wand. </t>
        </r>
      </text>
    </comment>
    <comment ref="R29" authorId="0" shapeId="0" xr:uid="{9C1DE757-FD44-4258-BF34-9F0DE7F96F1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9" authorId="1" shapeId="0" xr:uid="{393AA7FE-9A02-466C-8012-5B6348653616}">
      <text>
        <r>
          <rPr>
            <sz val="9"/>
            <color indexed="81"/>
            <rFont val="Tahoma"/>
            <family val="2"/>
          </rPr>
          <t xml:space="preserve">
The Side Channel Colour 
options are;
Black
Ivory/Classic White
Gray/Earl Gray
White/Snow White</t>
        </r>
      </text>
    </comment>
    <comment ref="T29" authorId="0" shapeId="0" xr:uid="{9C48D005-CCEC-4D3D-AD91-07836B9E1FBE}">
      <text>
        <r>
          <rPr>
            <sz val="8"/>
            <color indexed="81"/>
            <rFont val="Tahoma"/>
            <family val="2"/>
          </rPr>
          <t>If the Blind m2 is 
oversized, then 
"Check Size" 
will be listed.</t>
        </r>
      </text>
    </comment>
    <comment ref="U29" authorId="0" shapeId="0" xr:uid="{A584F330-5030-48DD-B9FA-2B9FB88DB76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9" authorId="0" shapeId="0" xr:uid="{EA796BE3-8C86-48D3-A8AA-C4FED68848E5}">
      <text>
        <r>
          <rPr>
            <sz val="8"/>
            <color indexed="81"/>
            <rFont val="Tahoma"/>
            <family val="2"/>
          </rPr>
          <t>Please use this section 
to specify 
any Special Requirements
for the Line/Order.</t>
        </r>
      </text>
    </comment>
    <comment ref="D30" authorId="0" shapeId="0" xr:uid="{1D94E5C9-2A71-4936-A87B-09CFB31A4A5C}">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0" authorId="0" shapeId="0" xr:uid="{B29A4CA8-ED61-470F-8FE9-2906C8EEFC0E}">
      <text>
        <r>
          <rPr>
            <sz val="8"/>
            <color indexed="81"/>
            <rFont val="Tahoma"/>
            <family val="2"/>
          </rPr>
          <t>Product options are;
25mm Single Cellular Blind
38mm Single Cellular Blind
45mm Single Cellular Blind
38mm Double Cellular Blind
45mm Single Cellular Cell In A Cell Blind</t>
        </r>
      </text>
    </comment>
    <comment ref="F30" authorId="0" shapeId="0" xr:uid="{2B31D7BF-F44D-4A2E-9929-7EC0C87DD148}">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0" authorId="0" shapeId="0" xr:uid="{E9EAC3DE-EAF7-4A4A-81D3-1350FB824E1E}">
      <text>
        <r>
          <rPr>
            <sz val="8"/>
            <color indexed="81"/>
            <rFont val="Tahoma"/>
            <family val="2"/>
          </rPr>
          <t>The Colour is dependent on the 
Fabric option selected. 
For a Day Night Blind, 
this Colour is for the 
Top Blind which can be either 
Blockout or Translucent.</t>
        </r>
      </text>
    </comment>
    <comment ref="H30" authorId="0" shapeId="0" xr:uid="{5F371497-E273-4EF4-B97D-092678217F7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0" authorId="0" shapeId="0" xr:uid="{4BAC4610-E63F-49E5-9102-068CB1CAFDA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0" authorId="0" shapeId="0" xr:uid="{71817124-ACB9-4898-9170-83BC87669EA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0" authorId="0" shapeId="0" xr:uid="{EFE930C3-A2E8-475C-84A0-108FEDDBE06B}">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0" authorId="0" shapeId="0" xr:uid="{2E2A2EAE-929F-4222-A508-BDD9F8927677}">
      <text>
        <r>
          <rPr>
            <sz val="8"/>
            <color indexed="81"/>
            <rFont val="Tahoma"/>
            <family val="2"/>
          </rPr>
          <t xml:space="preserve">Recess &amp; NAM must be selected 
when ordering Side Channels. 
The factory will take standard deductions. </t>
        </r>
      </text>
    </comment>
    <comment ref="M30" authorId="0" shapeId="0" xr:uid="{28383CE9-8C65-4D1E-ACB8-98EF01B9C24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0" authorId="0" shapeId="0" xr:uid="{2D839EAF-632E-4D2E-852C-E4CAAA7B0C5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0" authorId="0" shapeId="0" xr:uid="{E8338580-8B70-48CF-9C2D-EE15C344D14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0" authorId="0" shapeId="0" xr:uid="{33469B0E-417F-491B-8288-83FC65E90A2B}">
      <text>
        <r>
          <rPr>
            <sz val="8"/>
            <color indexed="81"/>
            <rFont val="Tahoma"/>
            <family val="2"/>
          </rPr>
          <t xml:space="preserve">The Motor Power Side options for 
Motors With Power Adapters are;
Left
Right
The Motor Power Side for USB-C 
Power Adaptors must match 
the side of the Wand. </t>
        </r>
      </text>
    </comment>
    <comment ref="R30" authorId="0" shapeId="0" xr:uid="{1A8B8F43-D798-416F-830B-E8CFC43BAF11}">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0" authorId="1" shapeId="0" xr:uid="{30B73081-798B-4280-82B3-631245BBDFC4}">
      <text>
        <r>
          <rPr>
            <sz val="9"/>
            <color indexed="81"/>
            <rFont val="Tahoma"/>
            <family val="2"/>
          </rPr>
          <t xml:space="preserve">
The Side Channel Colour 
options are;
Black
Ivory/Classic White
Gray/Earl Gray
White/Snow White</t>
        </r>
      </text>
    </comment>
    <comment ref="T30" authorId="0" shapeId="0" xr:uid="{B5F1A029-F835-426A-8805-3DB907FB7448}">
      <text>
        <r>
          <rPr>
            <sz val="8"/>
            <color indexed="81"/>
            <rFont val="Tahoma"/>
            <family val="2"/>
          </rPr>
          <t>If the Blind m2 is 
oversized, then 
"Check Size" 
will be listed.</t>
        </r>
      </text>
    </comment>
    <comment ref="U30" authorId="0" shapeId="0" xr:uid="{57E3ED60-7F75-4592-91DB-A8239BEC089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0" authorId="0" shapeId="0" xr:uid="{6F2E8360-5406-4E95-8B9A-A882CB8DF46D}">
      <text>
        <r>
          <rPr>
            <sz val="8"/>
            <color indexed="81"/>
            <rFont val="Tahoma"/>
            <family val="2"/>
          </rPr>
          <t>Please use this section 
to specify 
any Special Requirements
for the Line/Order.</t>
        </r>
      </text>
    </comment>
    <comment ref="D31" authorId="0" shapeId="0" xr:uid="{180089B5-48C5-4B50-AAB8-6FED7876C0A8}">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1" authorId="0" shapeId="0" xr:uid="{3112FC2C-0A39-4DC8-B604-AAB644218FD6}">
      <text>
        <r>
          <rPr>
            <sz val="8"/>
            <color indexed="81"/>
            <rFont val="Tahoma"/>
            <family val="2"/>
          </rPr>
          <t>Product options are;
25mm Single Cellular Blind
38mm Single Cellular Blind
45mm Single Cellular Blind
38mm Double Cellular Blind
45mm Single Cellular Cell In A Cell Blind</t>
        </r>
      </text>
    </comment>
    <comment ref="F31" authorId="0" shapeId="0" xr:uid="{293781AB-07C7-4DBB-8F5D-3304EC221398}">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1" authorId="0" shapeId="0" xr:uid="{D0CEDE21-285A-483F-9DED-38BD4F4BCD1F}">
      <text>
        <r>
          <rPr>
            <sz val="8"/>
            <color indexed="81"/>
            <rFont val="Tahoma"/>
            <family val="2"/>
          </rPr>
          <t>The Colour is dependent on the 
Fabric option selected. 
For a Day Night Blind, 
this Colour is for the 
Top Blind which can be either 
Blockout or Translucent.</t>
        </r>
      </text>
    </comment>
    <comment ref="H31" authorId="0" shapeId="0" xr:uid="{89E301CA-9A7D-481A-B677-968980BFC429}">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1" authorId="0" shapeId="0" xr:uid="{0EB7957C-551E-4472-8EBB-623F551B11BD}">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1" authorId="0" shapeId="0" xr:uid="{1DBAE1D2-17C6-44B8-BF2A-23727BCAFDD7}">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1" authorId="0" shapeId="0" xr:uid="{C4338758-CB5A-45D2-8ECC-E36FAA8815A0}">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1" authorId="0" shapeId="0" xr:uid="{D82E5548-B083-4173-BDBF-CD46185A18E0}">
      <text>
        <r>
          <rPr>
            <sz val="8"/>
            <color indexed="81"/>
            <rFont val="Tahoma"/>
            <family val="2"/>
          </rPr>
          <t xml:space="preserve">Recess &amp; NAM must be selected 
when ordering Side Channels. 
The factory will take standard deductions. </t>
        </r>
      </text>
    </comment>
    <comment ref="M31" authorId="0" shapeId="0" xr:uid="{1F3C9335-A854-49EA-9C15-3712A41536F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1" authorId="0" shapeId="0" xr:uid="{3EF278D8-6DEE-49EB-ABBF-DE1D77A9B340}">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1" authorId="0" shapeId="0" xr:uid="{D280C449-D698-4728-926D-908DA6CC571F}">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1" authorId="0" shapeId="0" xr:uid="{2E24C256-B22E-4020-8275-C7D3BAEA0025}">
      <text>
        <r>
          <rPr>
            <sz val="8"/>
            <color indexed="81"/>
            <rFont val="Tahoma"/>
            <family val="2"/>
          </rPr>
          <t xml:space="preserve">The Motor Power Side options for 
Motors With Power Adapters are;
Left
Right
The Motor Power Side for USB-C 
Power Adaptors must match 
the side of the Wand. </t>
        </r>
      </text>
    </comment>
    <comment ref="R31" authorId="0" shapeId="0" xr:uid="{4446DA6B-10E1-4E79-A5D2-0A2E75A860D7}">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1" authorId="1" shapeId="0" xr:uid="{B1E3D226-899A-4B6D-B0EC-5A0135E36A1F}">
      <text>
        <r>
          <rPr>
            <sz val="9"/>
            <color indexed="81"/>
            <rFont val="Tahoma"/>
            <family val="2"/>
          </rPr>
          <t xml:space="preserve">
The Side Channel Colour 
options are;
Black
Ivory/Classic White
Gray/Earl Gray
White/Snow White</t>
        </r>
      </text>
    </comment>
    <comment ref="T31" authorId="0" shapeId="0" xr:uid="{2C529679-3D63-4703-8476-F0DC5F433781}">
      <text>
        <r>
          <rPr>
            <sz val="8"/>
            <color indexed="81"/>
            <rFont val="Tahoma"/>
            <family val="2"/>
          </rPr>
          <t>If the Blind m2 is 
oversized, then 
"Check Size" 
will be listed.</t>
        </r>
      </text>
    </comment>
    <comment ref="U31" authorId="0" shapeId="0" xr:uid="{F8666DC2-56BD-4451-AE41-85D8DE92C9A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1" authorId="0" shapeId="0" xr:uid="{3E67C6BC-7610-4E5E-9D24-4DCEEF393098}">
      <text>
        <r>
          <rPr>
            <sz val="8"/>
            <color indexed="81"/>
            <rFont val="Tahoma"/>
            <family val="2"/>
          </rPr>
          <t>Please use this section 
to specify 
any Special Requirements
for the Line/Order.</t>
        </r>
      </text>
    </comment>
    <comment ref="D32" authorId="0" shapeId="0" xr:uid="{40214705-66EA-45C5-AA1F-3309010B1CFA}">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2" authorId="0" shapeId="0" xr:uid="{AC615253-680F-448A-A9F4-3E8C3A9DBDFD}">
      <text>
        <r>
          <rPr>
            <sz val="8"/>
            <color indexed="81"/>
            <rFont val="Tahoma"/>
            <family val="2"/>
          </rPr>
          <t>Product options are;
25mm Single Cellular Blind
38mm Single Cellular Blind
45mm Single Cellular Blind
38mm Double Cellular Blind
45mm Single Cellular Cell In A Cell Blind</t>
        </r>
      </text>
    </comment>
    <comment ref="F32" authorId="0" shapeId="0" xr:uid="{CF8D1F93-BD01-45B4-BA42-B0433C6C6ED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2" authorId="0" shapeId="0" xr:uid="{470BD527-8F46-4CC2-8AD0-1784283D1659}">
      <text>
        <r>
          <rPr>
            <sz val="8"/>
            <color indexed="81"/>
            <rFont val="Tahoma"/>
            <family val="2"/>
          </rPr>
          <t>The Colour is dependent on the 
Fabric option selected. 
For a Day Night Blind, 
this Colour is for the 
Top Blind which can be either 
Blockout or Translucent.</t>
        </r>
      </text>
    </comment>
    <comment ref="H32" authorId="0" shapeId="0" xr:uid="{A3F99352-B70A-4D8A-AD8A-36BA22584A6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2" authorId="0" shapeId="0" xr:uid="{A5A86B3D-D4AB-4199-8BF5-7A0F0E127DA1}">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2" authorId="0" shapeId="0" xr:uid="{789A60F4-66C4-4D18-8523-71073A58BAB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2" authorId="0" shapeId="0" xr:uid="{CD63F8EF-A7F9-4BFB-9657-431A7DA31127}">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2" authorId="0" shapeId="0" xr:uid="{ECE5FC81-5C78-4F01-B2E0-091DB4C3E4C9}">
      <text>
        <r>
          <rPr>
            <sz val="8"/>
            <color indexed="81"/>
            <rFont val="Tahoma"/>
            <family val="2"/>
          </rPr>
          <t xml:space="preserve">Recess &amp; NAM must be selected 
when ordering Side Channels. 
The factory will take standard deductions. </t>
        </r>
      </text>
    </comment>
    <comment ref="M32" authorId="0" shapeId="0" xr:uid="{D6B54601-8DC1-4A61-A86C-D83FAE9492C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2" authorId="0" shapeId="0" xr:uid="{7ADA7B0A-9E7A-43FD-9417-2E04EE490E8E}">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2" authorId="0" shapeId="0" xr:uid="{1D06DFF9-CC46-4F58-A560-45842D385B3C}">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2" authorId="0" shapeId="0" xr:uid="{7A166A60-BA24-4EA1-8893-3841E5FA7776}">
      <text>
        <r>
          <rPr>
            <sz val="8"/>
            <color indexed="81"/>
            <rFont val="Tahoma"/>
            <family val="2"/>
          </rPr>
          <t xml:space="preserve">The Motor Power Side options for 
Motors With Power Adapters are;
Left
Right
The Motor Power Side for USB-C 
Power Adaptors must match 
the side of the Wand. </t>
        </r>
      </text>
    </comment>
    <comment ref="R32" authorId="0" shapeId="0" xr:uid="{06AB1405-F521-4C49-80C2-795982D70341}">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2" authorId="1" shapeId="0" xr:uid="{0301585E-3CD2-475A-A320-B6B396140AF9}">
      <text>
        <r>
          <rPr>
            <sz val="9"/>
            <color indexed="81"/>
            <rFont val="Tahoma"/>
            <family val="2"/>
          </rPr>
          <t xml:space="preserve">
The Side Channel Colour 
options are;
Black
Ivory/Classic White
Gray/Earl Gray
White/Snow White</t>
        </r>
      </text>
    </comment>
    <comment ref="T32" authorId="0" shapeId="0" xr:uid="{A2760CED-DBF6-4A09-A92C-2743EF37ED01}">
      <text>
        <r>
          <rPr>
            <sz val="8"/>
            <color indexed="81"/>
            <rFont val="Tahoma"/>
            <family val="2"/>
          </rPr>
          <t>If the Blind m2 is 
oversized, then 
"Check Size" 
will be listed.</t>
        </r>
      </text>
    </comment>
    <comment ref="U32" authorId="0" shapeId="0" xr:uid="{A59BFB2E-79B8-4CD3-87D5-70C0922D028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2" authorId="0" shapeId="0" xr:uid="{55EC89E8-8FA2-47F2-B973-8642D2A45C57}">
      <text>
        <r>
          <rPr>
            <sz val="8"/>
            <color indexed="81"/>
            <rFont val="Tahoma"/>
            <family val="2"/>
          </rPr>
          <t>Please use this section 
to specify 
any Special Requirements
for the Line/Order.</t>
        </r>
      </text>
    </comment>
    <comment ref="D33" authorId="0" shapeId="0" xr:uid="{31E8F47D-5024-40BF-98E4-62F3A3EAA268}">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3" authorId="0" shapeId="0" xr:uid="{02C80A60-C846-4FDF-B390-DB3C0695A1B7}">
      <text>
        <r>
          <rPr>
            <sz val="8"/>
            <color indexed="81"/>
            <rFont val="Tahoma"/>
            <family val="2"/>
          </rPr>
          <t>Product options are;
25mm Single Cellular Blind
38mm Single Cellular Blind
45mm Single Cellular Blind
38mm Double Cellular Blind
45mm Single Cellular Cell In A Cell Blind</t>
        </r>
      </text>
    </comment>
    <comment ref="F33" authorId="0" shapeId="0" xr:uid="{3C7D0EFB-5C07-46F9-8D11-A12C66068D1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3" authorId="0" shapeId="0" xr:uid="{1A08287C-4523-4B13-BD16-C9FC60E25F62}">
      <text>
        <r>
          <rPr>
            <sz val="8"/>
            <color indexed="81"/>
            <rFont val="Tahoma"/>
            <family val="2"/>
          </rPr>
          <t>The Colour is dependent on the 
Fabric option selected. 
For a Day Night Blind, 
this Colour is for the 
Top Blind which can be either 
Blockout or Translucent.</t>
        </r>
      </text>
    </comment>
    <comment ref="H33" authorId="0" shapeId="0" xr:uid="{5DCBA1A3-7412-4C7A-94C8-DE3868F06D0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3" authorId="0" shapeId="0" xr:uid="{BD6B3723-7CA8-4F06-864E-96F6F4158115}">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3" authorId="0" shapeId="0" xr:uid="{6D4370E4-37D9-469B-A59C-A7D9334E2321}">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3" authorId="0" shapeId="0" xr:uid="{E6E3D2D9-32EE-493A-A535-E02C7AE733DF}">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3" authorId="0" shapeId="0" xr:uid="{E3AD76D5-FCF9-475A-A6CA-E865539600DA}">
      <text>
        <r>
          <rPr>
            <sz val="8"/>
            <color indexed="81"/>
            <rFont val="Tahoma"/>
            <family val="2"/>
          </rPr>
          <t xml:space="preserve">Recess &amp; NAM must be selected 
when ordering Side Channels. 
The factory will take standard deductions. </t>
        </r>
      </text>
    </comment>
    <comment ref="M33" authorId="0" shapeId="0" xr:uid="{CF43C74D-0CFA-4496-BD4F-75C796097C8B}">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3" authorId="0" shapeId="0" xr:uid="{79AB1E01-8F5E-48E5-85F7-DE077E464E2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3" authorId="0" shapeId="0" xr:uid="{69484C56-C480-42C5-9FC2-108671C97FEF}">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3" authorId="0" shapeId="0" xr:uid="{5D2EF2E7-CEAC-425A-BED0-3C2599C74168}">
      <text>
        <r>
          <rPr>
            <sz val="8"/>
            <color indexed="81"/>
            <rFont val="Tahoma"/>
            <family val="2"/>
          </rPr>
          <t xml:space="preserve">The Motor Power Side options for 
Motors With Power Adapters are;
Left
Right
The Motor Power Side for USB-C 
Power Adaptors must match 
the side of the Wand. </t>
        </r>
      </text>
    </comment>
    <comment ref="R33" authorId="0" shapeId="0" xr:uid="{0AC08343-7CA4-44B5-9D78-2FE52040752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3" authorId="1" shapeId="0" xr:uid="{5F2473D8-C629-4385-8FCD-EA320831285D}">
      <text>
        <r>
          <rPr>
            <sz val="9"/>
            <color indexed="81"/>
            <rFont val="Tahoma"/>
            <family val="2"/>
          </rPr>
          <t xml:space="preserve">
The Side Channel Colour 
options are;
Black
Ivory/Classic White
Gray/Earl Gray
White/Snow White</t>
        </r>
      </text>
    </comment>
    <comment ref="T33" authorId="0" shapeId="0" xr:uid="{15B268FF-77BF-4DA3-9B5B-EA7838000C63}">
      <text>
        <r>
          <rPr>
            <sz val="8"/>
            <color indexed="81"/>
            <rFont val="Tahoma"/>
            <family val="2"/>
          </rPr>
          <t>If the Blind m2 is 
oversized, then 
"Check Size" 
will be listed.</t>
        </r>
      </text>
    </comment>
    <comment ref="U33" authorId="0" shapeId="0" xr:uid="{4EDAECEC-1D58-448B-AA92-56AF4E6F0C57}">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3" authorId="0" shapeId="0" xr:uid="{0DA6FF8C-CCEF-4431-BCDD-DB2D50406FE8}">
      <text>
        <r>
          <rPr>
            <sz val="8"/>
            <color indexed="81"/>
            <rFont val="Tahoma"/>
            <family val="2"/>
          </rPr>
          <t>Please use this section 
to specify 
any Special Requirements
for the Line/Order.</t>
        </r>
      </text>
    </comment>
    <comment ref="D34" authorId="0" shapeId="0" xr:uid="{DA8D52F8-D8F0-461F-A2F0-E68AA7117BB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4" authorId="0" shapeId="0" xr:uid="{F4CF3485-AC25-4E33-8C02-41E5B510A268}">
      <text>
        <r>
          <rPr>
            <sz val="8"/>
            <color indexed="81"/>
            <rFont val="Tahoma"/>
            <family val="2"/>
          </rPr>
          <t>Product options are;
25mm Single Cellular Blind
38mm Single Cellular Blind
45mm Single Cellular Blind
38mm Double Cellular Blind
45mm Single Cellular Cell In A Cell Blind</t>
        </r>
      </text>
    </comment>
    <comment ref="F34" authorId="0" shapeId="0" xr:uid="{E098BB5B-F612-45AF-9F37-07F7F6633FA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4" authorId="0" shapeId="0" xr:uid="{E5362BAA-5A36-4E5E-915E-FF137D624B0E}">
      <text>
        <r>
          <rPr>
            <sz val="8"/>
            <color indexed="81"/>
            <rFont val="Tahoma"/>
            <family val="2"/>
          </rPr>
          <t>The Colour is dependent on the 
Fabric option selected. 
For a Day Night Blind, 
this Colour is for the 
Top Blind which can be either 
Blockout or Translucent.</t>
        </r>
      </text>
    </comment>
    <comment ref="H34" authorId="0" shapeId="0" xr:uid="{C70D162F-0A1D-4EBF-8F15-FCB3ED98C2DC}">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4" authorId="0" shapeId="0" xr:uid="{5D0F1F7E-7AC4-4A3B-997D-D855F0DD68ED}">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4" authorId="0" shapeId="0" xr:uid="{E71D77F4-A38C-40CE-9429-19138831FB74}">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4" authorId="0" shapeId="0" xr:uid="{981184A5-6C87-4871-A192-FB4ECC65BD45}">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4" authorId="0" shapeId="0" xr:uid="{6C1263D3-138F-45F5-801C-655096290172}">
      <text>
        <r>
          <rPr>
            <sz val="8"/>
            <color indexed="81"/>
            <rFont val="Tahoma"/>
            <family val="2"/>
          </rPr>
          <t xml:space="preserve">Recess &amp; NAM must be selected 
when ordering Side Channels. 
The factory will take standard deductions. </t>
        </r>
      </text>
    </comment>
    <comment ref="M34" authorId="0" shapeId="0" xr:uid="{19F02CC0-521A-4786-B940-55ABB1A4A640}">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4" authorId="0" shapeId="0" xr:uid="{CEFA1F09-6E99-4B56-9F44-45B8B8ECBEA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4" authorId="0" shapeId="0" xr:uid="{70F259B4-8D70-447A-B551-5DEB6137D0CD}">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4" authorId="0" shapeId="0" xr:uid="{DBCB65CD-3795-4F96-84E2-815A7BDDCB65}">
      <text>
        <r>
          <rPr>
            <sz val="8"/>
            <color indexed="81"/>
            <rFont val="Tahoma"/>
            <family val="2"/>
          </rPr>
          <t xml:space="preserve">The Motor Power Side options for 
Motors With Power Adapters are;
Left
Right
The Motor Power Side for USB-C 
Power Adaptors must match 
the side of the Wand. </t>
        </r>
      </text>
    </comment>
    <comment ref="R34" authorId="0" shapeId="0" xr:uid="{7B41CE7A-291E-4091-A740-E39C967429B0}">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4" authorId="1" shapeId="0" xr:uid="{FB9D7369-A1E4-4688-8A0D-3734FAF726AF}">
      <text>
        <r>
          <rPr>
            <sz val="9"/>
            <color indexed="81"/>
            <rFont val="Tahoma"/>
            <family val="2"/>
          </rPr>
          <t xml:space="preserve">
The Side Channel Colour 
options are;
Black
Ivory/Classic White
Gray/Earl Gray
White/Snow White</t>
        </r>
      </text>
    </comment>
    <comment ref="T34" authorId="0" shapeId="0" xr:uid="{AA60066E-C870-4D6F-A62A-5E716EE5D3AD}">
      <text>
        <r>
          <rPr>
            <sz val="8"/>
            <color indexed="81"/>
            <rFont val="Tahoma"/>
            <family val="2"/>
          </rPr>
          <t>If the Blind m2 is 
oversized, then 
"Check Size" 
will be listed.</t>
        </r>
      </text>
    </comment>
    <comment ref="U34" authorId="0" shapeId="0" xr:uid="{6FD0D521-E11E-4543-B9AE-D9528F855BB8}">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4" authorId="0" shapeId="0" xr:uid="{0A28104B-7F98-44BA-BCA9-2FD65F0C3085}">
      <text>
        <r>
          <rPr>
            <sz val="8"/>
            <color indexed="81"/>
            <rFont val="Tahoma"/>
            <family val="2"/>
          </rPr>
          <t>Please use this section 
to specify 
any Special Requirements
for the Line/Order.</t>
        </r>
      </text>
    </comment>
    <comment ref="D35" authorId="0" shapeId="0" xr:uid="{2C67C30E-338B-447B-90E8-13A531F839C8}">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5" authorId="0" shapeId="0" xr:uid="{AAC684F0-7086-469A-BE1D-BE03533FB56C}">
      <text>
        <r>
          <rPr>
            <sz val="8"/>
            <color indexed="81"/>
            <rFont val="Tahoma"/>
            <family val="2"/>
          </rPr>
          <t>Product options are;
25mm Single Cellular Blind
38mm Single Cellular Blind
45mm Single Cellular Blind
38mm Double Cellular Blind
45mm Single Cellular Cell In A Cell Blind</t>
        </r>
      </text>
    </comment>
    <comment ref="F35" authorId="0" shapeId="0" xr:uid="{B7155BF0-EC03-4EC9-9797-5D49F875E265}">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5" authorId="0" shapeId="0" xr:uid="{7A76B69F-AFCD-4818-83FC-FC3DF60C8CA3}">
      <text>
        <r>
          <rPr>
            <sz val="8"/>
            <color indexed="81"/>
            <rFont val="Tahoma"/>
            <family val="2"/>
          </rPr>
          <t>The Colour is dependent on the 
Fabric option selected. 
For a Day Night Blind, 
this Colour is for the 
Top Blind which can be either 
Blockout or Translucent.</t>
        </r>
      </text>
    </comment>
    <comment ref="H35" authorId="0" shapeId="0" xr:uid="{168CCAD4-5B9F-454D-99B2-F8DDBE82D540}">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5" authorId="0" shapeId="0" xr:uid="{EE431FCC-17EC-417B-80BD-F2FC4834D1F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5" authorId="0" shapeId="0" xr:uid="{22064060-8D7C-4433-AC96-1F99442CDDD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5" authorId="0" shapeId="0" xr:uid="{0BB50578-163B-4A45-9102-B22AAA710ED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5" authorId="0" shapeId="0" xr:uid="{48F0B017-BBC9-4AB3-B1F4-F76A3D9B8EE8}">
      <text>
        <r>
          <rPr>
            <sz val="8"/>
            <color indexed="81"/>
            <rFont val="Tahoma"/>
            <family val="2"/>
          </rPr>
          <t xml:space="preserve">Recess &amp; NAM must be selected 
when ordering Side Channels. 
The factory will take standard deductions. </t>
        </r>
      </text>
    </comment>
    <comment ref="M35" authorId="0" shapeId="0" xr:uid="{D09113F9-D4D7-4AEE-9500-4D4B0F27F6C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5" authorId="0" shapeId="0" xr:uid="{44EA8FDA-7354-4883-B045-851813D253A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5" authorId="0" shapeId="0" xr:uid="{39723959-0CC0-4680-B7B3-E839CA5EB56A}">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5" authorId="0" shapeId="0" xr:uid="{8A1E1174-AAC7-4062-854F-38508F585AD6}">
      <text>
        <r>
          <rPr>
            <sz val="8"/>
            <color indexed="81"/>
            <rFont val="Tahoma"/>
            <family val="2"/>
          </rPr>
          <t xml:space="preserve">The Motor Power Side options for 
Motors With Power Adapters are;
Left
Right
The Motor Power Side for USB-C 
Power Adaptors must match 
the side of the Wand. </t>
        </r>
      </text>
    </comment>
    <comment ref="R35" authorId="0" shapeId="0" xr:uid="{72718255-E1EA-4484-9D52-5AB7788444A4}">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5" authorId="1" shapeId="0" xr:uid="{AB90BA28-8826-4141-BF06-AFF24F24F8E9}">
      <text>
        <r>
          <rPr>
            <sz val="9"/>
            <color indexed="81"/>
            <rFont val="Tahoma"/>
            <family val="2"/>
          </rPr>
          <t xml:space="preserve">
The Side Channel Colour 
options are;
Black
Ivory/Classic White
Gray/Earl Gray
White/Snow White</t>
        </r>
      </text>
    </comment>
    <comment ref="T35" authorId="0" shapeId="0" xr:uid="{8E10B39C-7B31-497E-B42B-BBF8202DE31A}">
      <text>
        <r>
          <rPr>
            <sz val="8"/>
            <color indexed="81"/>
            <rFont val="Tahoma"/>
            <family val="2"/>
          </rPr>
          <t>If the Blind m2 is 
oversized, then 
"Check Size" 
will be listed.</t>
        </r>
      </text>
    </comment>
    <comment ref="U35" authorId="0" shapeId="0" xr:uid="{CAE7FCB0-75C6-41A2-97B0-1944C357F23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5" authorId="0" shapeId="0" xr:uid="{6A1795B3-7F23-4EFB-B388-31382DAD6C23}">
      <text>
        <r>
          <rPr>
            <sz val="8"/>
            <color indexed="81"/>
            <rFont val="Tahoma"/>
            <family val="2"/>
          </rPr>
          <t>Please use this section 
to specify 
any Special Requirements
for the Line/Order.</t>
        </r>
      </text>
    </comment>
    <comment ref="D36" authorId="0" shapeId="0" xr:uid="{906E81AE-8D7C-46C1-862E-C55A2D6CAE20}">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6" authorId="0" shapeId="0" xr:uid="{170FC152-51D2-42EA-9E17-A36E9F7857C6}">
      <text>
        <r>
          <rPr>
            <sz val="8"/>
            <color indexed="81"/>
            <rFont val="Tahoma"/>
            <family val="2"/>
          </rPr>
          <t>Product options are;
25mm Single Cellular Blind
38mm Single Cellular Blind
45mm Single Cellular Blind
38mm Double Cellular Blind
45mm Single Cellular Cell In A Cell Blind</t>
        </r>
      </text>
    </comment>
    <comment ref="F36" authorId="0" shapeId="0" xr:uid="{F7A1DC05-5D0A-4732-B7C7-AC4D326F471E}">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6" authorId="0" shapeId="0" xr:uid="{DD9B7547-5F89-4740-9B4B-CB507223F3E1}">
      <text>
        <r>
          <rPr>
            <sz val="8"/>
            <color indexed="81"/>
            <rFont val="Tahoma"/>
            <family val="2"/>
          </rPr>
          <t>The Colour is dependent on the 
Fabric option selected. 
For a Day Night Blind, 
this Colour is for the 
Top Blind which can be either 
Blockout or Translucent.</t>
        </r>
      </text>
    </comment>
    <comment ref="H36" authorId="0" shapeId="0" xr:uid="{F7F09EFF-B743-402B-8EA4-99D1BC5BCB6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6" authorId="0" shapeId="0" xr:uid="{F3772102-BED3-4DFE-8C93-42E066117CA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6" authorId="0" shapeId="0" xr:uid="{27C2A357-84D8-4577-B9E4-C062CC625AD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6" authorId="0" shapeId="0" xr:uid="{599E1AAE-7F6B-400B-8C57-6E5000B6389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6" authorId="0" shapeId="0" xr:uid="{36E5D219-087A-46A7-93EB-0440A6A86517}">
      <text>
        <r>
          <rPr>
            <sz val="8"/>
            <color indexed="81"/>
            <rFont val="Tahoma"/>
            <family val="2"/>
          </rPr>
          <t xml:space="preserve">Recess &amp; NAM must be selected 
when ordering Side Channels. 
The factory will take standard deductions. </t>
        </r>
      </text>
    </comment>
    <comment ref="M36" authorId="0" shapeId="0" xr:uid="{91B44D92-FAFC-4D9A-863A-A9613F1E34E1}">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6" authorId="0" shapeId="0" xr:uid="{135D2AAC-2044-4830-B812-6F5D1B1D34F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6" authorId="0" shapeId="0" xr:uid="{55B1D863-949E-41A3-9D41-98197F753D2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6" authorId="0" shapeId="0" xr:uid="{000C0E22-AE0C-4B39-8514-95068E3F1CFC}">
      <text>
        <r>
          <rPr>
            <sz val="8"/>
            <color indexed="81"/>
            <rFont val="Tahoma"/>
            <family val="2"/>
          </rPr>
          <t xml:space="preserve">The Motor Power Side options for 
Motors With Power Adapters are;
Left
Right
The Motor Power Side for USB-C 
Power Adaptors must match 
the side of the Wand. </t>
        </r>
      </text>
    </comment>
    <comment ref="R36" authorId="0" shapeId="0" xr:uid="{14C931D1-D3F8-4961-9479-0FB50D40D91A}">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6" authorId="1" shapeId="0" xr:uid="{21E2C766-E9F4-4954-8A01-D133564655AB}">
      <text>
        <r>
          <rPr>
            <sz val="9"/>
            <color indexed="81"/>
            <rFont val="Tahoma"/>
            <family val="2"/>
          </rPr>
          <t xml:space="preserve">
The Side Channel Colour 
options are;
Black
Ivory/Classic White
Gray/Earl Gray
White/Snow White</t>
        </r>
      </text>
    </comment>
    <comment ref="T36" authorId="0" shapeId="0" xr:uid="{83A979AC-E8FD-4913-AFE9-2CDE167F6FB6}">
      <text>
        <r>
          <rPr>
            <sz val="8"/>
            <color indexed="81"/>
            <rFont val="Tahoma"/>
            <family val="2"/>
          </rPr>
          <t>If the Blind m2 is 
oversized, then 
"Check Size" 
will be listed.</t>
        </r>
      </text>
    </comment>
    <comment ref="U36" authorId="0" shapeId="0" xr:uid="{791B9775-CCB7-4822-94AB-1E7BAF972271}">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6" authorId="0" shapeId="0" xr:uid="{8EBF24FF-7408-40EA-9854-EFC9303870DB}">
      <text>
        <r>
          <rPr>
            <sz val="8"/>
            <color indexed="81"/>
            <rFont val="Tahoma"/>
            <family val="2"/>
          </rPr>
          <t>Please use this section 
to specify 
any Special Requirements
for the Line/Order.</t>
        </r>
      </text>
    </comment>
    <comment ref="D37" authorId="0" shapeId="0" xr:uid="{DF068C3A-60D0-4BE8-B616-2E08C5725B1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7" authorId="0" shapeId="0" xr:uid="{963889DD-ED17-43FF-862F-C27E8E95F27C}">
      <text>
        <r>
          <rPr>
            <sz val="8"/>
            <color indexed="81"/>
            <rFont val="Tahoma"/>
            <family val="2"/>
          </rPr>
          <t>Product options are;
25mm Single Cellular Blind
38mm Single Cellular Blind
45mm Single Cellular Blind
38mm Double Cellular Blind
45mm Single Cellular Cell In A Cell Blind</t>
        </r>
      </text>
    </comment>
    <comment ref="F37" authorId="0" shapeId="0" xr:uid="{AFBAEBA7-343D-4038-B9F8-17E47F4065A9}">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7" authorId="0" shapeId="0" xr:uid="{65F82297-859C-4B23-8763-BF533D47EABB}">
      <text>
        <r>
          <rPr>
            <sz val="8"/>
            <color indexed="81"/>
            <rFont val="Tahoma"/>
            <family val="2"/>
          </rPr>
          <t>The Colour is dependent on the 
Fabric option selected. 
For a Day Night Blind, 
this Colour is for the 
Top Blind which can be either 
Blockout or Translucent.</t>
        </r>
      </text>
    </comment>
    <comment ref="H37" authorId="0" shapeId="0" xr:uid="{B53C5D09-5F38-447B-8445-7FF13D04D27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7" authorId="0" shapeId="0" xr:uid="{198729C8-38E1-4ADC-9DDD-F532DFA9EEA6}">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7" authorId="0" shapeId="0" xr:uid="{30A040D9-2E48-4A8A-9050-E7A01B64BD0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7" authorId="0" shapeId="0" xr:uid="{09478DEF-F7A9-4E9C-A307-3D14E2B57C9B}">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7" authorId="0" shapeId="0" xr:uid="{A6E1ACB4-5CDA-4064-A6FA-59621426AAB2}">
      <text>
        <r>
          <rPr>
            <sz val="8"/>
            <color indexed="81"/>
            <rFont val="Tahoma"/>
            <family val="2"/>
          </rPr>
          <t xml:space="preserve">Recess &amp; NAM must be selected 
when ordering Side Channels. 
The factory will take standard deductions. </t>
        </r>
      </text>
    </comment>
    <comment ref="M37" authorId="0" shapeId="0" xr:uid="{3C2A75D1-9DE6-4374-8557-8983BF12756D}">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7" authorId="0" shapeId="0" xr:uid="{9C84BE7C-8021-4636-B4CA-6F1727C8CE15}">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7" authorId="0" shapeId="0" xr:uid="{5EFD5537-A1F1-4BB9-A572-3EA7DD49B8BC}">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7" authorId="0" shapeId="0" xr:uid="{36BA38A6-DCD1-4C2E-BCE0-7E510262070C}">
      <text>
        <r>
          <rPr>
            <sz val="8"/>
            <color indexed="81"/>
            <rFont val="Tahoma"/>
            <family val="2"/>
          </rPr>
          <t xml:space="preserve">The Motor Power Side options for 
Motors With Power Adapters are;
Left
Right
The Motor Power Side for USB-C 
Power Adaptors must match 
the side of the Wand. </t>
        </r>
      </text>
    </comment>
    <comment ref="R37" authorId="0" shapeId="0" xr:uid="{36A08F08-1583-4133-9EBE-0E00A5E6DCB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7" authorId="1" shapeId="0" xr:uid="{FF12635A-402C-4506-9124-1E21CD6D91E0}">
      <text>
        <r>
          <rPr>
            <sz val="9"/>
            <color indexed="81"/>
            <rFont val="Tahoma"/>
            <family val="2"/>
          </rPr>
          <t xml:space="preserve">
The Side Channel Colour 
options are;
Black
Ivory/Classic White
Gray/Earl Gray
White/Snow White</t>
        </r>
      </text>
    </comment>
    <comment ref="T37" authorId="0" shapeId="0" xr:uid="{3CCBCF65-6CDF-47CB-8C97-22A8A2ADD425}">
      <text>
        <r>
          <rPr>
            <sz val="8"/>
            <color indexed="81"/>
            <rFont val="Tahoma"/>
            <family val="2"/>
          </rPr>
          <t>If the Blind m2 is 
oversized, then 
"Check Size" 
will be listed.</t>
        </r>
      </text>
    </comment>
    <comment ref="U37" authorId="0" shapeId="0" xr:uid="{D7832C15-05A7-4AA6-9F9F-3158B640954B}">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7" authorId="0" shapeId="0" xr:uid="{EC82F077-9623-4665-B8AC-D084BAF8342C}">
      <text>
        <r>
          <rPr>
            <sz val="8"/>
            <color indexed="81"/>
            <rFont val="Tahoma"/>
            <family val="2"/>
          </rPr>
          <t>Please use this section 
to specify 
any Special Requirements
for the Line/Order.</t>
        </r>
      </text>
    </comment>
    <comment ref="D38" authorId="0" shapeId="0" xr:uid="{845FACDB-8430-4352-9B5F-BF05EF43B1D9}">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8" authorId="0" shapeId="0" xr:uid="{EDB6FEE4-3C54-4814-A8E0-78E3A32374B1}">
      <text>
        <r>
          <rPr>
            <sz val="8"/>
            <color indexed="81"/>
            <rFont val="Tahoma"/>
            <family val="2"/>
          </rPr>
          <t>Product options are;
25mm Single Cellular Blind
38mm Single Cellular Blind
45mm Single Cellular Blind
38mm Double Cellular Blind
45mm Single Cellular Cell In A Cell Blind</t>
        </r>
      </text>
    </comment>
    <comment ref="F38" authorId="0" shapeId="0" xr:uid="{CFDB7026-5D40-42C9-9847-838F5E1AF945}">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8" authorId="0" shapeId="0" xr:uid="{E2D6852E-1C2B-43FD-8C94-26E5F0820AFD}">
      <text>
        <r>
          <rPr>
            <sz val="8"/>
            <color indexed="81"/>
            <rFont val="Tahoma"/>
            <family val="2"/>
          </rPr>
          <t>The Colour is dependent on the 
Fabric option selected. 
For a Day Night Blind, 
this Colour is for the 
Top Blind which can be either 
Blockout or Translucent.</t>
        </r>
      </text>
    </comment>
    <comment ref="H38" authorId="0" shapeId="0" xr:uid="{6D479BA9-79A1-43E2-BF13-5371D799E96D}">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8" authorId="0" shapeId="0" xr:uid="{CC69D900-5FA6-43D7-90D2-2119AAEE59F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8" authorId="0" shapeId="0" xr:uid="{7CC046A5-E543-47F2-A3EA-95226AF5403E}">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8" authorId="0" shapeId="0" xr:uid="{E437FFCB-546C-40ED-B5BD-BD8F8B436545}">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8" authorId="0" shapeId="0" xr:uid="{3643C749-C6DE-4084-8677-FD809D73D363}">
      <text>
        <r>
          <rPr>
            <sz val="8"/>
            <color indexed="81"/>
            <rFont val="Tahoma"/>
            <family val="2"/>
          </rPr>
          <t xml:space="preserve">Recess &amp; NAM must be selected 
when ordering Side Channels. 
The factory will take standard deductions. </t>
        </r>
      </text>
    </comment>
    <comment ref="M38" authorId="0" shapeId="0" xr:uid="{1BA61A59-D3ED-4579-BAF8-0A7BCBDBB46E}">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8" authorId="0" shapeId="0" xr:uid="{8359B30D-F9F9-4FE5-8C47-222700FD96BB}">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8" authorId="0" shapeId="0" xr:uid="{9CA558CB-CE05-49C8-A9AD-AB1764C3CA7B}">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8" authorId="0" shapeId="0" xr:uid="{3C8BE544-6262-45D5-B4FD-6CB64B617BEE}">
      <text>
        <r>
          <rPr>
            <sz val="8"/>
            <color indexed="81"/>
            <rFont val="Tahoma"/>
            <family val="2"/>
          </rPr>
          <t xml:space="preserve">The Motor Power Side options for 
Motors With Power Adapters are;
Left
Right
The Motor Power Side for USB-C 
Power Adaptors must match 
the side of the Wand. </t>
        </r>
      </text>
    </comment>
    <comment ref="R38" authorId="0" shapeId="0" xr:uid="{F7E5E187-96B9-416C-BB81-0A0B3E60EC6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8" authorId="1" shapeId="0" xr:uid="{E8A17B5E-2CC8-41E6-B10A-284D53F57CEE}">
      <text>
        <r>
          <rPr>
            <sz val="9"/>
            <color indexed="81"/>
            <rFont val="Tahoma"/>
            <family val="2"/>
          </rPr>
          <t xml:space="preserve">
The Side Channel Colour 
options are;
Black
Ivory/Classic White
Gray/Earl Gray
White/Snow White</t>
        </r>
      </text>
    </comment>
    <comment ref="T38" authorId="0" shapeId="0" xr:uid="{A0B36B6D-EA6E-4192-BDA3-654AEED72922}">
      <text>
        <r>
          <rPr>
            <sz val="8"/>
            <color indexed="81"/>
            <rFont val="Tahoma"/>
            <family val="2"/>
          </rPr>
          <t>If the Blind m2 is 
oversized, then 
"Check Size" 
will be listed.</t>
        </r>
      </text>
    </comment>
    <comment ref="U38" authorId="0" shapeId="0" xr:uid="{6AF63766-EF30-4B26-98A7-1AEAF9B408D9}">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8" authorId="0" shapeId="0" xr:uid="{F7CB03B4-5B7A-45F8-B404-7655C4066629}">
      <text>
        <r>
          <rPr>
            <sz val="8"/>
            <color indexed="81"/>
            <rFont val="Tahoma"/>
            <family val="2"/>
          </rPr>
          <t>Please use this section 
to specify 
any Special Requirements
for the Line/Order.</t>
        </r>
      </text>
    </comment>
    <comment ref="D39" authorId="0" shapeId="0" xr:uid="{E0683E7F-11BC-408C-B6AA-FC45F21AE98F}">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9" authorId="0" shapeId="0" xr:uid="{2D1F197B-F44F-4A37-8177-EA5906E9E56B}">
      <text>
        <r>
          <rPr>
            <sz val="8"/>
            <color indexed="81"/>
            <rFont val="Tahoma"/>
            <family val="2"/>
          </rPr>
          <t>Product options are;
25mm Single Cellular Blind
38mm Single Cellular Blind
45mm Single Cellular Blind
38mm Double Cellular Blind
45mm Single Cellular Cell In A Cell Blind</t>
        </r>
      </text>
    </comment>
    <comment ref="F39" authorId="0" shapeId="0" xr:uid="{3A628968-3A73-442C-92E3-9A104B5936D5}">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9" authorId="0" shapeId="0" xr:uid="{0D737DB9-0ED0-4EDF-ADB1-D89448BC345B}">
      <text>
        <r>
          <rPr>
            <sz val="8"/>
            <color indexed="81"/>
            <rFont val="Tahoma"/>
            <family val="2"/>
          </rPr>
          <t>The Colour is dependent on the 
Fabric option selected. 
For a Day Night Blind, 
this Colour is for the 
Top Blind which can be either 
Blockout or Translucent.</t>
        </r>
      </text>
    </comment>
    <comment ref="H39" authorId="0" shapeId="0" xr:uid="{E8498EA5-3581-4E25-A81F-34A3918EB2AF}">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9" authorId="0" shapeId="0" xr:uid="{B5B5FF66-35D9-47C0-A139-2C27717FAFD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9" authorId="0" shapeId="0" xr:uid="{6D3129EC-4BE3-4FA6-959D-EE8663DF2CB9}">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9" authorId="0" shapeId="0" xr:uid="{67E99744-94A1-4171-B2C0-876237EB13E3}">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9" authorId="0" shapeId="0" xr:uid="{22B0CD0C-397F-4E19-86FD-9CC00FBCB13A}">
      <text>
        <r>
          <rPr>
            <sz val="8"/>
            <color indexed="81"/>
            <rFont val="Tahoma"/>
            <family val="2"/>
          </rPr>
          <t xml:space="preserve">Recess &amp; NAM must be selected 
when ordering Side Channels. 
The factory will take standard deductions. </t>
        </r>
      </text>
    </comment>
    <comment ref="M39" authorId="0" shapeId="0" xr:uid="{4D6B6BD7-33AE-4F11-8762-C3210FBC069C}">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9" authorId="0" shapeId="0" xr:uid="{1E2B9E3D-9DE6-4FDA-A3DB-C0C863AE72A4}">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9" authorId="0" shapeId="0" xr:uid="{0AC4300E-8572-4383-9089-3EA29D9BCBD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9" authorId="0" shapeId="0" xr:uid="{B2976E82-0750-4B6D-86C7-DF68C3478BC9}">
      <text>
        <r>
          <rPr>
            <sz val="8"/>
            <color indexed="81"/>
            <rFont val="Tahoma"/>
            <family val="2"/>
          </rPr>
          <t xml:space="preserve">The Motor Power Side options for 
Motors With Power Adapters are;
Left
Right
The Motor Power Side for USB-C 
Power Adaptors must match 
the side of the Wand. </t>
        </r>
      </text>
    </comment>
    <comment ref="R39" authorId="0" shapeId="0" xr:uid="{0D730597-972C-4344-90AA-C4C55238BB5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9" authorId="1" shapeId="0" xr:uid="{F0216DEF-DFBF-48D1-A140-B4997C778D5A}">
      <text>
        <r>
          <rPr>
            <sz val="9"/>
            <color indexed="81"/>
            <rFont val="Tahoma"/>
            <family val="2"/>
          </rPr>
          <t xml:space="preserve">
The Side Channel Colour 
options are;
Black
Ivory/Classic White
Gray/Earl Gray
White/Snow White</t>
        </r>
      </text>
    </comment>
    <comment ref="T39" authorId="0" shapeId="0" xr:uid="{4BF45B2F-F100-4FF3-BBC6-4CB590E2B8F1}">
      <text>
        <r>
          <rPr>
            <sz val="8"/>
            <color indexed="81"/>
            <rFont val="Tahoma"/>
            <family val="2"/>
          </rPr>
          <t>If the Blind m2 is 
oversized, then 
"Check Size" 
will be listed.</t>
        </r>
      </text>
    </comment>
    <comment ref="U39" authorId="0" shapeId="0" xr:uid="{E36149AF-953F-472B-B5EE-614D166B0F22}">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9" authorId="0" shapeId="0" xr:uid="{94680A08-E48B-4ABC-98FD-AC53D369FE2D}">
      <text>
        <r>
          <rPr>
            <sz val="8"/>
            <color indexed="81"/>
            <rFont val="Tahoma"/>
            <family val="2"/>
          </rPr>
          <t>Please use this section 
to specify 
any Special Requirements
for the Line/Order.</t>
        </r>
      </text>
    </comment>
    <comment ref="D40" authorId="0" shapeId="0" xr:uid="{596255E9-98E6-4D71-BB15-EF552A606114}">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0" authorId="0" shapeId="0" xr:uid="{95BE760F-F369-48B1-9A5E-8890691A6AA8}">
      <text>
        <r>
          <rPr>
            <sz val="8"/>
            <color indexed="81"/>
            <rFont val="Tahoma"/>
            <family val="2"/>
          </rPr>
          <t>Product options are;
25mm Single Cellular Blind
38mm Single Cellular Blind
45mm Single Cellular Blind
38mm Double Cellular Blind
45mm Single Cellular Cell In A Cell Blind</t>
        </r>
      </text>
    </comment>
    <comment ref="F40" authorId="0" shapeId="0" xr:uid="{2E582A43-510B-4A9A-9CA0-F6C43842F15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0" authorId="0" shapeId="0" xr:uid="{6ECD6143-4AB5-4C50-A423-07748AA0DA0E}">
      <text>
        <r>
          <rPr>
            <sz val="8"/>
            <color indexed="81"/>
            <rFont val="Tahoma"/>
            <family val="2"/>
          </rPr>
          <t>The Colour is dependent on the 
Fabric option selected. 
For a Day Night Blind, 
this Colour is for the 
Top Blind which can be either 
Blockout or Translucent.</t>
        </r>
      </text>
    </comment>
    <comment ref="H40" authorId="0" shapeId="0" xr:uid="{E8B83CDB-8E59-4481-8C18-7C09FD2F1448}">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0" authorId="0" shapeId="0" xr:uid="{650AD68F-B616-434E-B644-AE31B2F4FEA6}">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0" authorId="0" shapeId="0" xr:uid="{FD88D43D-FECF-4D08-A8D3-4AF663D48FDB}">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0" authorId="0" shapeId="0" xr:uid="{DED84E21-738D-468D-B6DA-9DFC265BA415}">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0" authorId="0" shapeId="0" xr:uid="{0D916A64-CA2C-4E73-9A27-27A869956AB1}">
      <text>
        <r>
          <rPr>
            <sz val="8"/>
            <color indexed="81"/>
            <rFont val="Tahoma"/>
            <family val="2"/>
          </rPr>
          <t xml:space="preserve">Recess &amp; NAM must be selected 
when ordering Side Channels. 
The factory will take standard deductions. </t>
        </r>
      </text>
    </comment>
    <comment ref="M40" authorId="0" shapeId="0" xr:uid="{63E08EFB-E93C-4DB5-A159-9EDB13521C7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0" authorId="0" shapeId="0" xr:uid="{0DF4C492-5C2C-4F84-AB1A-781F9F58A92C}">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0" authorId="0" shapeId="0" xr:uid="{3250D1DB-DC06-4283-ABE4-641E7C533D1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0" authorId="0" shapeId="0" xr:uid="{116FA72B-0848-4012-9681-EE6C5DFA9FB5}">
      <text>
        <r>
          <rPr>
            <sz val="8"/>
            <color indexed="81"/>
            <rFont val="Tahoma"/>
            <family val="2"/>
          </rPr>
          <t xml:space="preserve">The Motor Power Side options for 
Motors With Power Adapters are;
Left
Right
The Motor Power Side for USB-C 
Power Adaptors must match 
the side of the Wand. </t>
        </r>
      </text>
    </comment>
    <comment ref="R40" authorId="0" shapeId="0" xr:uid="{E7E8BE0D-A8E1-47A0-9EFC-7035E79207E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0" authorId="1" shapeId="0" xr:uid="{0EE6BA38-0D9D-4820-A4C5-2651BE895879}">
      <text>
        <r>
          <rPr>
            <sz val="9"/>
            <color indexed="81"/>
            <rFont val="Tahoma"/>
            <family val="2"/>
          </rPr>
          <t xml:space="preserve">
The Side Channel Colour 
options are;
Black
Ivory/Classic White
Gray/Earl Gray
White/Snow White</t>
        </r>
      </text>
    </comment>
    <comment ref="T40" authorId="0" shapeId="0" xr:uid="{847DC838-9D15-4DE1-BCD7-45D961CDF8A4}">
      <text>
        <r>
          <rPr>
            <sz val="8"/>
            <color indexed="81"/>
            <rFont val="Tahoma"/>
            <family val="2"/>
          </rPr>
          <t>If the Blind m2 is 
oversized, then 
"Check Size" 
will be listed.</t>
        </r>
      </text>
    </comment>
    <comment ref="U40" authorId="0" shapeId="0" xr:uid="{1BF1936F-07BA-4F3D-AB2C-41C5D8697AB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0" authorId="0" shapeId="0" xr:uid="{7BA3D425-1915-42B7-9EC4-D9E3A9817EE1}">
      <text>
        <r>
          <rPr>
            <sz val="8"/>
            <color indexed="81"/>
            <rFont val="Tahoma"/>
            <family val="2"/>
          </rPr>
          <t>Please use this section 
to specify 
any Special Requirements
for the Line/Order.</t>
        </r>
      </text>
    </comment>
    <comment ref="D41" authorId="0" shapeId="0" xr:uid="{6C86FE2F-7190-4009-9912-68498590B93A}">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1" authorId="0" shapeId="0" xr:uid="{A6C9DCE6-5B21-42F0-BF14-BDD2F5283B0E}">
      <text>
        <r>
          <rPr>
            <sz val="8"/>
            <color indexed="81"/>
            <rFont val="Tahoma"/>
            <family val="2"/>
          </rPr>
          <t>Product options are;
25mm Single Cellular Blind
38mm Single Cellular Blind
45mm Single Cellular Blind
38mm Double Cellular Blind
45mm Single Cellular Cell In A Cell Blind</t>
        </r>
      </text>
    </comment>
    <comment ref="F41" authorId="0" shapeId="0" xr:uid="{841EC118-8233-4E22-9701-43F02F110EF7}">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1" authorId="0" shapeId="0" xr:uid="{24AAB02E-0891-438C-9F15-D8A0D5446F2E}">
      <text>
        <r>
          <rPr>
            <sz val="8"/>
            <color indexed="81"/>
            <rFont val="Tahoma"/>
            <family val="2"/>
          </rPr>
          <t>The Colour is dependent on the 
Fabric option selected. 
For a Day Night Blind, 
this Colour is for the 
Top Blind which can be either 
Blockout or Translucent.</t>
        </r>
      </text>
    </comment>
    <comment ref="H41" authorId="0" shapeId="0" xr:uid="{CFFFC46F-CDAE-4E66-9D52-64F3D774052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1" authorId="0" shapeId="0" xr:uid="{15619D99-E85B-4103-B431-DB4F15E9FF5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1" authorId="0" shapeId="0" xr:uid="{B6C52BB4-E7A1-4ADC-9B1E-1CF68589D49A}">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1" authorId="0" shapeId="0" xr:uid="{1AC48B44-44CD-47AC-AA1C-797ECE2A313E}">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1" authorId="0" shapeId="0" xr:uid="{21B210A0-0A05-4418-ABAE-B50C07F2EE7B}">
      <text>
        <r>
          <rPr>
            <sz val="8"/>
            <color indexed="81"/>
            <rFont val="Tahoma"/>
            <family val="2"/>
          </rPr>
          <t xml:space="preserve">Recess &amp; NAM must be selected 
when ordering Side Channels. 
The factory will take standard deductions. </t>
        </r>
      </text>
    </comment>
    <comment ref="M41" authorId="0" shapeId="0" xr:uid="{2A8EDAC0-3BC8-475C-88B4-B50DB1BA250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1" authorId="0" shapeId="0" xr:uid="{09439B07-10F9-43B6-82B6-74AFEFB9BCA9}">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1" authorId="0" shapeId="0" xr:uid="{E01839C4-A666-4A07-8A09-64D9AE540825}">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1" authorId="0" shapeId="0" xr:uid="{FFAE3428-8517-43D0-A6E2-A4C12DB20DE6}">
      <text>
        <r>
          <rPr>
            <sz val="8"/>
            <color indexed="81"/>
            <rFont val="Tahoma"/>
            <family val="2"/>
          </rPr>
          <t xml:space="preserve">The Motor Power Side options for 
Motors With Power Adapters are;
Left
Right
The Motor Power Side for USB-C 
Power Adaptors must match 
the side of the Wand. </t>
        </r>
      </text>
    </comment>
    <comment ref="R41" authorId="0" shapeId="0" xr:uid="{CFFB9199-0412-4A68-B89B-5C738358B5C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1" authorId="1" shapeId="0" xr:uid="{B6D53CA0-3D0C-4ED7-8853-090DEADD7ED1}">
      <text>
        <r>
          <rPr>
            <sz val="9"/>
            <color indexed="81"/>
            <rFont val="Tahoma"/>
            <family val="2"/>
          </rPr>
          <t xml:space="preserve">
The Side Channel Colour 
options are;
Black
Ivory/Classic White
Gray/Earl Gray
White/Snow White</t>
        </r>
      </text>
    </comment>
    <comment ref="T41" authorId="0" shapeId="0" xr:uid="{9B2D9462-3628-4CEC-8D2F-E1BDF111595C}">
      <text>
        <r>
          <rPr>
            <sz val="8"/>
            <color indexed="81"/>
            <rFont val="Tahoma"/>
            <family val="2"/>
          </rPr>
          <t>If the Blind m2 is 
oversized, then 
"Check Size" 
will be listed.</t>
        </r>
      </text>
    </comment>
    <comment ref="U41" authorId="0" shapeId="0" xr:uid="{04134B29-8B2C-48AE-8FC8-A4D07485570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1" authorId="0" shapeId="0" xr:uid="{0C397C3B-BFD6-4B50-8F0B-45050A0A3545}">
      <text>
        <r>
          <rPr>
            <sz val="8"/>
            <color indexed="81"/>
            <rFont val="Tahoma"/>
            <family val="2"/>
          </rPr>
          <t>Please use this section 
to specify 
any Special Requirements
for the Line/Order.</t>
        </r>
      </text>
    </comment>
    <comment ref="D42" authorId="0" shapeId="0" xr:uid="{00B3220F-D602-4E05-8014-41984D6A9BFC}">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2" authorId="0" shapeId="0" xr:uid="{1EA7668E-3D20-4393-8B57-336727B51D3B}">
      <text>
        <r>
          <rPr>
            <sz val="8"/>
            <color indexed="81"/>
            <rFont val="Tahoma"/>
            <family val="2"/>
          </rPr>
          <t>Product options are;
25mm Single Cellular Blind
38mm Single Cellular Blind
45mm Single Cellular Blind
38mm Double Cellular Blind
45mm Single Cellular Cell In A Cell Blind</t>
        </r>
      </text>
    </comment>
    <comment ref="F42" authorId="0" shapeId="0" xr:uid="{CCE4BC92-CCBA-4A73-BD3A-E84A9B6AF13F}">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2" authorId="0" shapeId="0" xr:uid="{8E05D140-2EE6-478A-8C0F-780B6717FEBF}">
      <text>
        <r>
          <rPr>
            <sz val="8"/>
            <color indexed="81"/>
            <rFont val="Tahoma"/>
            <family val="2"/>
          </rPr>
          <t>The Colour is dependent on the 
Fabric option selected. 
For a Day Night Blind, 
this Colour is for the 
Top Blind which can be either 
Blockout or Translucent.</t>
        </r>
      </text>
    </comment>
    <comment ref="H42" authorId="0" shapeId="0" xr:uid="{3002EFA1-ED4E-44F2-A23D-2EC0B471C0AA}">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2" authorId="0" shapeId="0" xr:uid="{3FBFAC2D-19EA-4F71-8A2C-7CD2214B7EB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2" authorId="0" shapeId="0" xr:uid="{5BC4FF57-9E19-4981-9979-AB4373489EB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2" authorId="0" shapeId="0" xr:uid="{2904AD4F-9C30-4E3B-BC7F-84E40222DFD6}">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2" authorId="0" shapeId="0" xr:uid="{AE66633E-898D-41C6-9577-429851C1C89B}">
      <text>
        <r>
          <rPr>
            <sz val="8"/>
            <color indexed="81"/>
            <rFont val="Tahoma"/>
            <family val="2"/>
          </rPr>
          <t xml:space="preserve">Recess &amp; NAM must be selected 
when ordering Side Channels. 
The factory will take standard deductions. </t>
        </r>
      </text>
    </comment>
    <comment ref="M42" authorId="0" shapeId="0" xr:uid="{208B3502-E448-4636-B920-C7075B4D722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2" authorId="0" shapeId="0" xr:uid="{AAE5D650-A636-4B42-9EF0-76CBE41521E9}">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2" authorId="0" shapeId="0" xr:uid="{A4358CFB-5F1F-4F51-8F4A-29257C3E378E}">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2" authorId="0" shapeId="0" xr:uid="{76969051-A806-4B02-B9D9-C40FF2082D28}">
      <text>
        <r>
          <rPr>
            <sz val="8"/>
            <color indexed="81"/>
            <rFont val="Tahoma"/>
            <family val="2"/>
          </rPr>
          <t xml:space="preserve">The Motor Power Side options for 
Motors With Power Adapters are;
Left
Right
The Motor Power Side for USB-C 
Power Adaptors must match 
the side of the Wand. </t>
        </r>
      </text>
    </comment>
    <comment ref="R42" authorId="0" shapeId="0" xr:uid="{F4C284D0-D63E-4449-9ECF-97837155096C}">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2" authorId="1" shapeId="0" xr:uid="{767F7E3F-7A6A-4A58-927F-D38CB370E7FF}">
      <text>
        <r>
          <rPr>
            <sz val="9"/>
            <color indexed="81"/>
            <rFont val="Tahoma"/>
            <family val="2"/>
          </rPr>
          <t xml:space="preserve">
The Side Channel Colour 
options are;
Black
Ivory/Classic White
Gray/Earl Gray
White/Snow White</t>
        </r>
      </text>
    </comment>
    <comment ref="T42" authorId="0" shapeId="0" xr:uid="{B7F90611-25D4-4D53-BA0C-61777C79A1A9}">
      <text>
        <r>
          <rPr>
            <sz val="8"/>
            <color indexed="81"/>
            <rFont val="Tahoma"/>
            <family val="2"/>
          </rPr>
          <t>If the Blind m2 is 
oversized, then 
"Check Size" 
will be listed.</t>
        </r>
      </text>
    </comment>
    <comment ref="U42" authorId="0" shapeId="0" xr:uid="{03DC87F9-FAA1-42A1-A33F-50A8480945B4}">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2" authorId="0" shapeId="0" xr:uid="{E169EFBA-AA35-4DB9-9D96-D486C47B8E41}">
      <text>
        <r>
          <rPr>
            <sz val="8"/>
            <color indexed="81"/>
            <rFont val="Tahoma"/>
            <family val="2"/>
          </rPr>
          <t>Please use this section 
to specify 
any Special Requirements
for the Line/Order.</t>
        </r>
      </text>
    </comment>
    <comment ref="D43" authorId="0" shapeId="0" xr:uid="{FE52FA4C-2122-411F-A940-3CCCAF627AF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3" authorId="0" shapeId="0" xr:uid="{5A7EB2BB-CB7C-4ACF-9727-453BC754E11F}">
      <text>
        <r>
          <rPr>
            <sz val="8"/>
            <color indexed="81"/>
            <rFont val="Tahoma"/>
            <family val="2"/>
          </rPr>
          <t>Product options are;
25mm Single Cellular Blind
38mm Single Cellular Blind
45mm Single Cellular Blind
38mm Double Cellular Blind
45mm Single Cellular Cell In A Cell Blind</t>
        </r>
      </text>
    </comment>
    <comment ref="F43" authorId="0" shapeId="0" xr:uid="{019EB367-242D-4FDB-88F2-D325EC08A91E}">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3" authorId="0" shapeId="0" xr:uid="{E2F700E0-CBA0-4ACD-B893-35C60AA2BA02}">
      <text>
        <r>
          <rPr>
            <sz val="8"/>
            <color indexed="81"/>
            <rFont val="Tahoma"/>
            <family val="2"/>
          </rPr>
          <t>The Colour is dependent on the 
Fabric option selected. 
For a Day Night Blind, 
this Colour is for the 
Top Blind which can be either 
Blockout or Translucent.</t>
        </r>
      </text>
    </comment>
    <comment ref="H43" authorId="0" shapeId="0" xr:uid="{58B15E9B-0AB1-4E48-B6B3-8231E5F77604}">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3" authorId="0" shapeId="0" xr:uid="{3ED40ADD-E075-4E75-AF9F-2FC990A8BFB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3" authorId="0" shapeId="0" xr:uid="{385794F0-28E3-4BD6-9C79-24A2F21BA314}">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3" authorId="0" shapeId="0" xr:uid="{47285C82-5930-4A1B-B498-B6C86ADC33AB}">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3" authorId="0" shapeId="0" xr:uid="{3E89E2F4-9C02-4D53-83D7-DE041ECD45F9}">
      <text>
        <r>
          <rPr>
            <sz val="8"/>
            <color indexed="81"/>
            <rFont val="Tahoma"/>
            <family val="2"/>
          </rPr>
          <t xml:space="preserve">Recess &amp; NAM must be selected 
when ordering Side Channels. 
The factory will take standard deductions. </t>
        </r>
      </text>
    </comment>
    <comment ref="M43" authorId="0" shapeId="0" xr:uid="{0BF2AB3C-0AB6-4E06-98C8-38CA1EDE1DF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3" authorId="0" shapeId="0" xr:uid="{3693FA75-0CCB-4A43-882D-9A0771C3472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3" authorId="0" shapeId="0" xr:uid="{37A1A024-7A7D-4224-90A3-55EAB5BAD77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3" authorId="0" shapeId="0" xr:uid="{1693E6E7-6AC2-4361-B5F3-50C007ABE97C}">
      <text>
        <r>
          <rPr>
            <sz val="8"/>
            <color indexed="81"/>
            <rFont val="Tahoma"/>
            <family val="2"/>
          </rPr>
          <t xml:space="preserve">The Motor Power Side options for 
Motors With Power Adapters are;
Left
Right
The Motor Power Side for USB-C 
Power Adaptors must match 
the side of the Wand. </t>
        </r>
      </text>
    </comment>
    <comment ref="R43" authorId="0" shapeId="0" xr:uid="{06A659A4-765F-4C21-877E-8B08BBCCDFE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3" authorId="1" shapeId="0" xr:uid="{C6657478-C4D5-469D-A7CC-5C89C8616E8C}">
      <text>
        <r>
          <rPr>
            <sz val="9"/>
            <color indexed="81"/>
            <rFont val="Tahoma"/>
            <family val="2"/>
          </rPr>
          <t xml:space="preserve">
The Side Channel Colour 
options are;
Black
Ivory/Classic White
Gray/Earl Gray
White/Snow White</t>
        </r>
      </text>
    </comment>
    <comment ref="T43" authorId="0" shapeId="0" xr:uid="{7136D65B-7D60-48B6-A180-69B10C76E5DD}">
      <text>
        <r>
          <rPr>
            <sz val="8"/>
            <color indexed="81"/>
            <rFont val="Tahoma"/>
            <family val="2"/>
          </rPr>
          <t>If the Blind m2 is 
oversized, then 
"Check Size" 
will be listed.</t>
        </r>
      </text>
    </comment>
    <comment ref="U43" authorId="0" shapeId="0" xr:uid="{67DECF7E-E03F-47E7-A08A-11DA43C0B495}">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3" authorId="0" shapeId="0" xr:uid="{8F200415-CB7C-4D21-AB61-8F3BB4543086}">
      <text>
        <r>
          <rPr>
            <sz val="8"/>
            <color indexed="81"/>
            <rFont val="Tahoma"/>
            <family val="2"/>
          </rPr>
          <t>Please use this section 
to specify 
any Special Requirements
for the Line/Order.</t>
        </r>
      </text>
    </comment>
    <comment ref="D44" authorId="0" shapeId="0" xr:uid="{22DA90F4-AFD2-4543-812D-0E82703D418B}">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4" authorId="0" shapeId="0" xr:uid="{2C28BC39-306B-4355-B8A3-C7D9F02C8059}">
      <text>
        <r>
          <rPr>
            <sz val="8"/>
            <color indexed="81"/>
            <rFont val="Tahoma"/>
            <family val="2"/>
          </rPr>
          <t>Product options are;
25mm Single Cellular Blind
38mm Single Cellular Blind
45mm Single Cellular Blind
38mm Double Cellular Blind
45mm Single Cellular Cell In A Cell Blind</t>
        </r>
      </text>
    </comment>
    <comment ref="F44" authorId="0" shapeId="0" xr:uid="{4B6E1C29-7611-4FF9-920D-5B249B0C980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4" authorId="0" shapeId="0" xr:uid="{8A9DA222-03AF-4022-9BD8-F8DCB25696AD}">
      <text>
        <r>
          <rPr>
            <sz val="8"/>
            <color indexed="81"/>
            <rFont val="Tahoma"/>
            <family val="2"/>
          </rPr>
          <t>The Colour is dependent on the 
Fabric option selected. 
For a Day Night Blind, 
this Colour is for the 
Top Blind which can be either 
Blockout or Translucent.</t>
        </r>
      </text>
    </comment>
    <comment ref="H44" authorId="0" shapeId="0" xr:uid="{D92754CD-FC64-4F79-9019-8143C0C4EFD7}">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4" authorId="0" shapeId="0" xr:uid="{F096B8F8-25E1-41BE-A64F-43AAE10ED107}">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4" authorId="0" shapeId="0" xr:uid="{CFB0D9B5-167E-4FEE-9C8D-A227B706921E}">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4" authorId="0" shapeId="0" xr:uid="{B1FA0E9D-A5DE-4556-B7A0-1BD32CA2BE73}">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4" authorId="0" shapeId="0" xr:uid="{C896796A-56DE-4AD7-97ED-2771321F2749}">
      <text>
        <r>
          <rPr>
            <sz val="8"/>
            <color indexed="81"/>
            <rFont val="Tahoma"/>
            <family val="2"/>
          </rPr>
          <t xml:space="preserve">Recess &amp; NAM must be selected 
when ordering Side Channels. 
The factory will take standard deductions. </t>
        </r>
      </text>
    </comment>
    <comment ref="M44" authorId="0" shapeId="0" xr:uid="{7C84AAB6-E9E2-4AD5-BADC-F8E450414DE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4" authorId="0" shapeId="0" xr:uid="{979DAF81-3C2A-47B3-8B4B-56ACAF11C21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4" authorId="0" shapeId="0" xr:uid="{3A2DA18A-F0AF-42FA-825A-75D63A5FA08D}">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4" authorId="0" shapeId="0" xr:uid="{BB8BF0C8-2289-4C2A-B6EB-23580421F6B1}">
      <text>
        <r>
          <rPr>
            <sz val="8"/>
            <color indexed="81"/>
            <rFont val="Tahoma"/>
            <family val="2"/>
          </rPr>
          <t xml:space="preserve">The Motor Power Side options for 
Motors With Power Adapters are;
Left
Right
The Motor Power Side for USB-C 
Power Adaptors must match 
the side of the Wand. </t>
        </r>
      </text>
    </comment>
    <comment ref="R44" authorId="0" shapeId="0" xr:uid="{5746269C-A555-42B4-A658-DA823B73A9B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4" authorId="1" shapeId="0" xr:uid="{37E442AE-20B4-4727-9042-86D8B6614BCC}">
      <text>
        <r>
          <rPr>
            <sz val="9"/>
            <color indexed="81"/>
            <rFont val="Tahoma"/>
            <family val="2"/>
          </rPr>
          <t xml:space="preserve">
The Side Channel Colour 
options are;
Black
Ivory/Classic White
Gray/Earl Gray
White/Snow White</t>
        </r>
      </text>
    </comment>
    <comment ref="T44" authorId="0" shapeId="0" xr:uid="{C8A029D2-A70B-489E-A9BB-4F3F1335794A}">
      <text>
        <r>
          <rPr>
            <sz val="8"/>
            <color indexed="81"/>
            <rFont val="Tahoma"/>
            <family val="2"/>
          </rPr>
          <t>If the Blind m2 is 
oversized, then 
"Check Size" 
will be listed.</t>
        </r>
      </text>
    </comment>
    <comment ref="U44" authorId="0" shapeId="0" xr:uid="{9EA02427-D83E-4AA5-958A-6D72945E8E5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4" authorId="0" shapeId="0" xr:uid="{618E489A-2056-4C12-B3CC-D21E0F719C6A}">
      <text>
        <r>
          <rPr>
            <sz val="8"/>
            <color indexed="81"/>
            <rFont val="Tahoma"/>
            <family val="2"/>
          </rPr>
          <t>Please use this section 
to specify 
any Special Requirements
for the Line/Order.</t>
        </r>
      </text>
    </comment>
    <comment ref="D45" authorId="0" shapeId="0" xr:uid="{12B36DC1-8789-4242-A832-0068EA75C8E9}">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5" authorId="0" shapeId="0" xr:uid="{17EDEAA6-7664-4C2E-B7CD-99EC688A0936}">
      <text>
        <r>
          <rPr>
            <sz val="8"/>
            <color indexed="81"/>
            <rFont val="Tahoma"/>
            <family val="2"/>
          </rPr>
          <t>Product options are;
25mm Single Cellular Blind
38mm Single Cellular Blind
45mm Single Cellular Blind
38mm Double Cellular Blind
45mm Single Cellular Cell In A Cell Blind</t>
        </r>
      </text>
    </comment>
    <comment ref="F45" authorId="0" shapeId="0" xr:uid="{44AE7937-967C-435D-9555-B89639324620}">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5" authorId="0" shapeId="0" xr:uid="{9CABE7B7-2378-4784-AFA0-A74944ECD49B}">
      <text>
        <r>
          <rPr>
            <sz val="8"/>
            <color indexed="81"/>
            <rFont val="Tahoma"/>
            <family val="2"/>
          </rPr>
          <t>The Colour is dependent on the 
Fabric option selected. 
For a Day Night Blind, 
this Colour is for the 
Top Blind which can be either 
Blockout or Translucent.</t>
        </r>
      </text>
    </comment>
    <comment ref="H45" authorId="0" shapeId="0" xr:uid="{8F1F9C04-4414-4E91-B172-A54FC5594DA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5" authorId="0" shapeId="0" xr:uid="{C24A0896-1C3F-47C0-8CBE-3A84BFF27703}">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5" authorId="0" shapeId="0" xr:uid="{6C075E82-8215-43A9-A628-5757BF64F3A9}">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5" authorId="0" shapeId="0" xr:uid="{0D194D77-970D-48D2-A410-A65E73DF31B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5" authorId="0" shapeId="0" xr:uid="{B5789AC0-8EE1-4DB3-9BBE-C2D9B24BFB66}">
      <text>
        <r>
          <rPr>
            <sz val="8"/>
            <color indexed="81"/>
            <rFont val="Tahoma"/>
            <family val="2"/>
          </rPr>
          <t xml:space="preserve">Recess &amp; NAM must be selected 
when ordering Side Channels. 
The factory will take standard deductions. </t>
        </r>
      </text>
    </comment>
    <comment ref="M45" authorId="0" shapeId="0" xr:uid="{4B2457CD-61C4-42FF-80DA-B7E061655FDA}">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5" authorId="0" shapeId="0" xr:uid="{FE957FCD-0BDB-4BE8-8160-C3DE583AA54E}">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5" authorId="0" shapeId="0" xr:uid="{6B8455E2-D8E9-4081-9119-FCA4781AC0E6}">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5" authorId="0" shapeId="0" xr:uid="{05165415-BCF7-49A2-A2A2-51E98A0296DE}">
      <text>
        <r>
          <rPr>
            <sz val="8"/>
            <color indexed="81"/>
            <rFont val="Tahoma"/>
            <family val="2"/>
          </rPr>
          <t xml:space="preserve">The Motor Power Side options for 
Motors With Power Adapters are;
Left
Right
The Motor Power Side for USB-C 
Power Adaptors must match 
the side of the Wand. </t>
        </r>
      </text>
    </comment>
    <comment ref="R45" authorId="0" shapeId="0" xr:uid="{E1A113BE-926D-4D95-90CC-75CECD0E6B4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5" authorId="1" shapeId="0" xr:uid="{20917E1C-4653-4158-B216-DF1528CD1140}">
      <text>
        <r>
          <rPr>
            <sz val="9"/>
            <color indexed="81"/>
            <rFont val="Tahoma"/>
            <family val="2"/>
          </rPr>
          <t xml:space="preserve">
The Side Channel Colour 
options are;
Black
Ivory/Classic White
Gray/Earl Gray
White/Snow White</t>
        </r>
      </text>
    </comment>
    <comment ref="T45" authorId="0" shapeId="0" xr:uid="{51629E9D-16A9-4CBA-AD0E-C876B8E1D32C}">
      <text>
        <r>
          <rPr>
            <sz val="8"/>
            <color indexed="81"/>
            <rFont val="Tahoma"/>
            <family val="2"/>
          </rPr>
          <t>If the Blind m2 is 
oversized, then 
"Check Size" 
will be listed.</t>
        </r>
      </text>
    </comment>
    <comment ref="U45" authorId="0" shapeId="0" xr:uid="{D531B59F-188D-4596-B567-F487A1FAD12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5" authorId="0" shapeId="0" xr:uid="{44DA0FBE-23B8-4907-B219-80E683E6BA38}">
      <text>
        <r>
          <rPr>
            <sz val="8"/>
            <color indexed="81"/>
            <rFont val="Tahoma"/>
            <family val="2"/>
          </rPr>
          <t>Please use this section 
to specify 
any Special Requirements
for the Line/Order.</t>
        </r>
      </text>
    </comment>
    <comment ref="D46" authorId="0" shapeId="0" xr:uid="{AD89051B-84D9-4B52-8DD0-659436E6F1AB}">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6" authorId="0" shapeId="0" xr:uid="{5F4EDE92-21BF-4598-9EAB-02F97DB06A19}">
      <text>
        <r>
          <rPr>
            <sz val="8"/>
            <color indexed="81"/>
            <rFont val="Tahoma"/>
            <family val="2"/>
          </rPr>
          <t>Product options are;
25mm Single Cellular Blind
38mm Single Cellular Blind
45mm Single Cellular Blind
38mm Double Cellular Blind
45mm Single Cellular Cell In A Cell Blind</t>
        </r>
      </text>
    </comment>
    <comment ref="F46" authorId="0" shapeId="0" xr:uid="{5323014F-342E-45E7-AA24-C63E5C595D3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6" authorId="0" shapeId="0" xr:uid="{2A1B0B32-33FB-434D-9030-6442E4472E15}">
      <text>
        <r>
          <rPr>
            <sz val="8"/>
            <color indexed="81"/>
            <rFont val="Tahoma"/>
            <family val="2"/>
          </rPr>
          <t>The Colour is dependent on the 
Fabric option selected. 
For a Day Night Blind, 
this Colour is for the 
Top Blind which can be either 
Blockout or Translucent.</t>
        </r>
      </text>
    </comment>
    <comment ref="H46" authorId="0" shapeId="0" xr:uid="{F8193319-925A-47B6-8F43-20FFDED0670D}">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6" authorId="0" shapeId="0" xr:uid="{91B3F9F0-01BD-4B68-8DB6-5CB0B3DAB77E}">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6" authorId="0" shapeId="0" xr:uid="{69F67BB2-A547-4377-B57B-E98F3713023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6" authorId="0" shapeId="0" xr:uid="{B6B91D5C-2140-4068-9FB6-0C1A8C2667D4}">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6" authorId="0" shapeId="0" xr:uid="{364E9734-5AD7-411D-977B-D9664409A155}">
      <text>
        <r>
          <rPr>
            <sz val="8"/>
            <color indexed="81"/>
            <rFont val="Tahoma"/>
            <family val="2"/>
          </rPr>
          <t xml:space="preserve">Recess &amp; NAM must be selected 
when ordering Side Channels. 
The factory will take standard deductions. </t>
        </r>
      </text>
    </comment>
    <comment ref="M46" authorId="0" shapeId="0" xr:uid="{E9C968F0-5467-48C8-A35B-629F7CC18811}">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6" authorId="0" shapeId="0" xr:uid="{40ECDA27-35C9-4945-B0B0-2A78777AC275}">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6" authorId="0" shapeId="0" xr:uid="{34F7EF67-308D-4A8E-A5CA-C593C3367673}">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6" authorId="0" shapeId="0" xr:uid="{468902EC-4F87-4165-BDB2-3FF2DE4C84AA}">
      <text>
        <r>
          <rPr>
            <sz val="8"/>
            <color indexed="81"/>
            <rFont val="Tahoma"/>
            <family val="2"/>
          </rPr>
          <t xml:space="preserve">The Motor Power Side options for 
Motors With Power Adapters are;
Left
Right
The Motor Power Side for USB-C 
Power Adaptors must match 
the side of the Wand. </t>
        </r>
      </text>
    </comment>
    <comment ref="R46" authorId="0" shapeId="0" xr:uid="{3FB509C2-B14E-4041-A4AD-7342A3B5796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6" authorId="1" shapeId="0" xr:uid="{B47D63D4-4CAF-4E95-8EF5-5676B20192A6}">
      <text>
        <r>
          <rPr>
            <sz val="9"/>
            <color indexed="81"/>
            <rFont val="Tahoma"/>
            <family val="2"/>
          </rPr>
          <t xml:space="preserve">
The Side Channel Colour 
options are;
Black
Ivory/Classic White
Gray/Earl Gray
White/Snow White</t>
        </r>
      </text>
    </comment>
    <comment ref="T46" authorId="0" shapeId="0" xr:uid="{8B87D06A-68A0-478C-97A5-42145103613C}">
      <text>
        <r>
          <rPr>
            <sz val="8"/>
            <color indexed="81"/>
            <rFont val="Tahoma"/>
            <family val="2"/>
          </rPr>
          <t>If the Blind m2 is 
oversized, then 
"Check Size" 
will be listed.</t>
        </r>
      </text>
    </comment>
    <comment ref="U46" authorId="0" shapeId="0" xr:uid="{7F11AEA1-DAC7-4CA9-AF3A-DB158D998149}">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6" authorId="0" shapeId="0" xr:uid="{0241A8E0-E036-451B-9293-1128575DCEDE}">
      <text>
        <r>
          <rPr>
            <sz val="8"/>
            <color indexed="81"/>
            <rFont val="Tahoma"/>
            <family val="2"/>
          </rPr>
          <t>Please use this section 
to specify 
any Special Requirements
for the Line/Order.</t>
        </r>
      </text>
    </comment>
    <comment ref="D47" authorId="0" shapeId="0" xr:uid="{329B4E4E-158F-44D1-BB65-B7D68F2D08F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7" authorId="0" shapeId="0" xr:uid="{C1CB8949-5F60-4127-9EA4-37369AB6EFDC}">
      <text>
        <r>
          <rPr>
            <sz val="8"/>
            <color indexed="81"/>
            <rFont val="Tahoma"/>
            <family val="2"/>
          </rPr>
          <t>Product options are;
25mm Single Cellular Blind
38mm Single Cellular Blind
45mm Single Cellular Blind
38mm Double Cellular Blind
45mm Single Cellular Cell In A Cell Blind</t>
        </r>
      </text>
    </comment>
    <comment ref="F47" authorId="0" shapeId="0" xr:uid="{7A6E492E-B65E-4DFA-9445-627588F6414E}">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7" authorId="0" shapeId="0" xr:uid="{33CC39D4-E004-40D0-864B-2502147B4F13}">
      <text>
        <r>
          <rPr>
            <sz val="8"/>
            <color indexed="81"/>
            <rFont val="Tahoma"/>
            <family val="2"/>
          </rPr>
          <t>The Colour is dependent on the 
Fabric option selected. 
For a Day Night Blind, 
this Colour is for the 
Top Blind which can be either 
Blockout or Translucent.</t>
        </r>
      </text>
    </comment>
    <comment ref="H47" authorId="0" shapeId="0" xr:uid="{2930C145-8DD5-4566-BC20-156CC42E0CC2}">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7" authorId="0" shapeId="0" xr:uid="{BC0DBE2D-EC66-4909-A169-E4940028FDA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7" authorId="0" shapeId="0" xr:uid="{B6838E0D-154E-4501-B18E-8DE954DE9243}">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7" authorId="0" shapeId="0" xr:uid="{0C3A2EB9-6CEC-4FCE-80B1-317B3A03E04E}">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7" authorId="0" shapeId="0" xr:uid="{DABD6FD7-2C68-42C3-9C00-B7C084BFC084}">
      <text>
        <r>
          <rPr>
            <sz val="8"/>
            <color indexed="81"/>
            <rFont val="Tahoma"/>
            <family val="2"/>
          </rPr>
          <t xml:space="preserve">Recess &amp; NAM must be selected 
when ordering Side Channels. 
The factory will take standard deductions. </t>
        </r>
      </text>
    </comment>
    <comment ref="M47" authorId="0" shapeId="0" xr:uid="{706A446C-4735-470E-A8DA-9E8484262E1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7" authorId="0" shapeId="0" xr:uid="{38C4D356-3A81-4442-A2E7-4A408EF664C6}">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7" authorId="0" shapeId="0" xr:uid="{3F7CCCEE-76D2-4CEF-9509-37A81B82BCC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7" authorId="0" shapeId="0" xr:uid="{D197AC16-F80F-44A4-90F8-08505D44A0A5}">
      <text>
        <r>
          <rPr>
            <sz val="8"/>
            <color indexed="81"/>
            <rFont val="Tahoma"/>
            <family val="2"/>
          </rPr>
          <t xml:space="preserve">The Motor Power Side options for 
Motors With Power Adapters are;
Left
Right
The Motor Power Side for USB-C 
Power Adaptors must match 
the side of the Wand. </t>
        </r>
      </text>
    </comment>
    <comment ref="R47" authorId="0" shapeId="0" xr:uid="{4E44CF08-B7BB-4D79-A550-7A4AEDF356B1}">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7" authorId="1" shapeId="0" xr:uid="{2352A434-C05F-4909-912E-50CB5699433B}">
      <text>
        <r>
          <rPr>
            <sz val="9"/>
            <color indexed="81"/>
            <rFont val="Tahoma"/>
            <family val="2"/>
          </rPr>
          <t xml:space="preserve">
The Side Channel Colour 
options are;
Black
Ivory/Classic White
Gray/Earl Gray
White/Snow White</t>
        </r>
      </text>
    </comment>
    <comment ref="T47" authorId="0" shapeId="0" xr:uid="{6EF74878-F26C-4442-B400-B4DDBA338DFB}">
      <text>
        <r>
          <rPr>
            <sz val="8"/>
            <color indexed="81"/>
            <rFont val="Tahoma"/>
            <family val="2"/>
          </rPr>
          <t>If the Blind m2 is 
oversized, then 
"Check Size" 
will be listed.</t>
        </r>
      </text>
    </comment>
    <comment ref="U47" authorId="0" shapeId="0" xr:uid="{1628AD3E-947F-4A36-8C60-37FCF8D9C4A7}">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7" authorId="0" shapeId="0" xr:uid="{C5770667-FB9B-447B-9EDB-0322ECCAB1E7}">
      <text>
        <r>
          <rPr>
            <sz val="8"/>
            <color indexed="81"/>
            <rFont val="Tahoma"/>
            <family val="2"/>
          </rPr>
          <t>Please use this section 
to specify 
any Special Requirements
for the Line/Order.</t>
        </r>
      </text>
    </comment>
    <comment ref="D48" authorId="0" shapeId="0" xr:uid="{A51E12D6-AD5A-4D7C-81A5-21CC9089EBA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8" authorId="0" shapeId="0" xr:uid="{D850EAC5-4493-47A6-BBF9-9ACF424D2C38}">
      <text>
        <r>
          <rPr>
            <sz val="8"/>
            <color indexed="81"/>
            <rFont val="Tahoma"/>
            <family val="2"/>
          </rPr>
          <t>Product options are;
25mm Single Cellular Blind
38mm Single Cellular Blind
45mm Single Cellular Blind
38mm Double Cellular Blind
45mm Single Cellular Cell In A Cell Blind</t>
        </r>
      </text>
    </comment>
    <comment ref="F48" authorId="0" shapeId="0" xr:uid="{A531268A-0558-472F-AFCE-D586871B437D}">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8" authorId="0" shapeId="0" xr:uid="{E6A03B50-5561-4B14-B50E-D89405700F7C}">
      <text>
        <r>
          <rPr>
            <sz val="8"/>
            <color indexed="81"/>
            <rFont val="Tahoma"/>
            <family val="2"/>
          </rPr>
          <t>The Colour is dependent on the 
Fabric option selected. 
For a Day Night Blind, 
this Colour is for the 
Top Blind which can be either 
Blockout or Translucent.</t>
        </r>
      </text>
    </comment>
    <comment ref="H48" authorId="0" shapeId="0" xr:uid="{BDE6D666-BF42-4386-BF13-2C992D8F2C39}">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8" authorId="0" shapeId="0" xr:uid="{A400723A-74BC-44A3-9DAA-1B6617C02E22}">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8" authorId="0" shapeId="0" xr:uid="{18FE7F3B-3EBF-4487-B721-E711464BE67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8" authorId="0" shapeId="0" xr:uid="{608472F5-8943-49AC-AF50-9C01E40DF1EC}">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8" authorId="0" shapeId="0" xr:uid="{DA88E65E-4CEA-45A1-ACBA-3AC45958F089}">
      <text>
        <r>
          <rPr>
            <sz val="8"/>
            <color indexed="81"/>
            <rFont val="Tahoma"/>
            <family val="2"/>
          </rPr>
          <t xml:space="preserve">Recess &amp; NAM must be selected 
when ordering Side Channels. 
The factory will take standard deductions. </t>
        </r>
      </text>
    </comment>
    <comment ref="M48" authorId="0" shapeId="0" xr:uid="{5A3ACD0C-5A76-4BF3-B154-406B329FB38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8" authorId="0" shapeId="0" xr:uid="{73AA4741-2B09-4466-AF51-CA5E7D7F618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8" authorId="0" shapeId="0" xr:uid="{A99B058B-E4BF-4198-990B-5542C7C7DCBC}">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8" authorId="0" shapeId="0" xr:uid="{72DDD37D-B368-4C28-9BD7-EAF66FDB5C07}">
      <text>
        <r>
          <rPr>
            <sz val="8"/>
            <color indexed="81"/>
            <rFont val="Tahoma"/>
            <family val="2"/>
          </rPr>
          <t xml:space="preserve">The Motor Power Side options for 
Motors With Power Adapters are;
Left
Right
The Motor Power Side for USB-C 
Power Adaptors must match 
the side of the Wand. </t>
        </r>
      </text>
    </comment>
    <comment ref="R48" authorId="0" shapeId="0" xr:uid="{24EF0CD8-3C80-4FEF-A972-70B9304D630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8" authorId="1" shapeId="0" xr:uid="{32DE3E88-62AB-4174-BF55-69DDEA119703}">
      <text>
        <r>
          <rPr>
            <sz val="9"/>
            <color indexed="81"/>
            <rFont val="Tahoma"/>
            <family val="2"/>
          </rPr>
          <t xml:space="preserve">
The Side Channel Colour 
options are;
Black
Ivory/Classic White
Gray/Earl Gray
White/Snow White</t>
        </r>
      </text>
    </comment>
    <comment ref="T48" authorId="0" shapeId="0" xr:uid="{92A4A32E-747F-43EF-9CE7-CC85D57310BE}">
      <text>
        <r>
          <rPr>
            <sz val="8"/>
            <color indexed="81"/>
            <rFont val="Tahoma"/>
            <family val="2"/>
          </rPr>
          <t>If the Blind m2 is 
oversized, then 
"Check Size" 
will be listed.</t>
        </r>
      </text>
    </comment>
    <comment ref="U48" authorId="0" shapeId="0" xr:uid="{0A704A6D-F201-4B1C-8E73-E48B43A9C59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8" authorId="0" shapeId="0" xr:uid="{BF1B2149-A455-422D-9063-FE7B813CDC83}">
      <text>
        <r>
          <rPr>
            <sz val="8"/>
            <color indexed="81"/>
            <rFont val="Tahoma"/>
            <family val="2"/>
          </rPr>
          <t>Please use this section 
to specify 
any Special Requirements
for the Line/Order.</t>
        </r>
      </text>
    </comment>
    <comment ref="D49" authorId="0" shapeId="0" xr:uid="{F61C94DC-4DB1-4CF6-988F-3E2DC393B205}">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9" authorId="0" shapeId="0" xr:uid="{76C4BDAF-0D27-4599-83C6-84C108F930F6}">
      <text>
        <r>
          <rPr>
            <sz val="8"/>
            <color indexed="81"/>
            <rFont val="Tahoma"/>
            <family val="2"/>
          </rPr>
          <t>Product options are;
25mm Single Cellular Blind
38mm Single Cellular Blind
45mm Single Cellular Blind
38mm Double Cellular Blind
45mm Single Cellular Cell In A Cell Blind</t>
        </r>
      </text>
    </comment>
    <comment ref="F49" authorId="0" shapeId="0" xr:uid="{25E91490-3030-4B26-964E-5D152D07BE0A}">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9" authorId="0" shapeId="0" xr:uid="{223522B2-685F-46FD-A0D7-CC0D47C932C8}">
      <text>
        <r>
          <rPr>
            <sz val="8"/>
            <color indexed="81"/>
            <rFont val="Tahoma"/>
            <family val="2"/>
          </rPr>
          <t>The Colour is dependent on the 
Fabric option selected. 
For a Day Night Blind, 
this Colour is for the 
Top Blind which can be either 
Blockout or Translucent.</t>
        </r>
      </text>
    </comment>
    <comment ref="H49" authorId="0" shapeId="0" xr:uid="{16BD2885-BA3D-4765-8D79-92022D81AC7C}">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9" authorId="0" shapeId="0" xr:uid="{4E50359C-3A7F-4EFB-8170-63843C8994A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9" authorId="0" shapeId="0" xr:uid="{BECC9D0C-B3A3-4B26-9CB0-6E7041CD85B3}">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9" authorId="0" shapeId="0" xr:uid="{63126428-23A6-4F8A-BEB9-9C176FE5835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9" authorId="0" shapeId="0" xr:uid="{167AED2D-DE74-459D-BC35-4E82C5D91B93}">
      <text>
        <r>
          <rPr>
            <sz val="8"/>
            <color indexed="81"/>
            <rFont val="Tahoma"/>
            <family val="2"/>
          </rPr>
          <t xml:space="preserve">Recess &amp; NAM must be selected 
when ordering Side Channels. 
The factory will take standard deductions. </t>
        </r>
      </text>
    </comment>
    <comment ref="M49" authorId="0" shapeId="0" xr:uid="{879E2EDE-0071-450E-A8C9-4BF9EBC6775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9" authorId="0" shapeId="0" xr:uid="{D1E15BE7-AF20-4CDB-97E9-2ACF20D2B967}">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9" authorId="0" shapeId="0" xr:uid="{FC3B0A47-864D-4878-A778-083A11AF21E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9" authorId="0" shapeId="0" xr:uid="{42775490-A146-4639-840D-BCEB17047368}">
      <text>
        <r>
          <rPr>
            <sz val="8"/>
            <color indexed="81"/>
            <rFont val="Tahoma"/>
            <family val="2"/>
          </rPr>
          <t xml:space="preserve">The Motor Power Side options for 
Motors With Power Adapters are;
Left
Right
The Motor Power Side for USB-C 
Power Adaptors must match 
the side of the Wand. </t>
        </r>
      </text>
    </comment>
    <comment ref="R49" authorId="0" shapeId="0" xr:uid="{F36C6FD8-EFBA-4242-B462-9EA779AF3E13}">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9" authorId="1" shapeId="0" xr:uid="{3467DC58-6A7E-4F76-9D15-5D56CDFD9800}">
      <text>
        <r>
          <rPr>
            <sz val="9"/>
            <color indexed="81"/>
            <rFont val="Tahoma"/>
            <family val="2"/>
          </rPr>
          <t xml:space="preserve">
The Side Channel Colour 
options are;
Black
Ivory/Classic White
Gray/Earl Gray
White/Snow White</t>
        </r>
      </text>
    </comment>
    <comment ref="T49" authorId="0" shapeId="0" xr:uid="{0A3ECACB-D552-450D-A97C-642C4CECFDB1}">
      <text>
        <r>
          <rPr>
            <sz val="8"/>
            <color indexed="81"/>
            <rFont val="Tahoma"/>
            <family val="2"/>
          </rPr>
          <t>If the Blind m2 is 
oversized, then 
"Check Size" 
will be listed.</t>
        </r>
      </text>
    </comment>
    <comment ref="U49" authorId="0" shapeId="0" xr:uid="{6A41F9B3-8AAB-4E65-9390-EEB1AE55A41D}">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9" authorId="0" shapeId="0" xr:uid="{D9636D0D-CF9F-4A99-AB48-6336FC476C99}">
      <text>
        <r>
          <rPr>
            <sz val="8"/>
            <color indexed="81"/>
            <rFont val="Tahoma"/>
            <family val="2"/>
          </rPr>
          <t>Please use this section 
to specify 
any Special Requirements
for the Line/Order.</t>
        </r>
      </text>
    </comment>
    <comment ref="D50" authorId="0" shapeId="0" xr:uid="{E6C83EC0-49D7-429E-B526-59F646A54C3D}">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0" authorId="0" shapeId="0" xr:uid="{C2CDBA3B-FB11-4620-9F37-86F713BA452B}">
      <text>
        <r>
          <rPr>
            <sz val="8"/>
            <color indexed="81"/>
            <rFont val="Tahoma"/>
            <family val="2"/>
          </rPr>
          <t>Product options are;
25mm Single Cellular Blind
38mm Single Cellular Blind
45mm Single Cellular Blind
38mm Double Cellular Blind
45mm Single Cellular Cell In A Cell Blind</t>
        </r>
      </text>
    </comment>
    <comment ref="F50" authorId="0" shapeId="0" xr:uid="{183C5EEF-E9BB-4A4D-A717-D9B72D0330F4}">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0" authorId="0" shapeId="0" xr:uid="{2DF2420B-5929-4CC8-9571-88F899CA748A}">
      <text>
        <r>
          <rPr>
            <sz val="8"/>
            <color indexed="81"/>
            <rFont val="Tahoma"/>
            <family val="2"/>
          </rPr>
          <t>The Colour is dependent on the 
Fabric option selected. 
For a Day Night Blind, 
this Colour is for the 
Top Blind which can be either 
Blockout or Translucent.</t>
        </r>
      </text>
    </comment>
    <comment ref="H50" authorId="0" shapeId="0" xr:uid="{CE0E4BAA-CEE4-4D42-8B76-38AC739B9517}">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0" authorId="0" shapeId="0" xr:uid="{C0D1732B-684D-4602-BBB8-141B5EF6FDD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0" authorId="0" shapeId="0" xr:uid="{3068AEE2-4DD0-492D-9BD6-30E6F8CF432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0" authorId="0" shapeId="0" xr:uid="{F946FE8F-AF89-412E-BE9C-50F7C896EB6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0" authorId="0" shapeId="0" xr:uid="{E3C6C9B0-A64D-4018-847A-BF886C1FDB2D}">
      <text>
        <r>
          <rPr>
            <sz val="8"/>
            <color indexed="81"/>
            <rFont val="Tahoma"/>
            <family val="2"/>
          </rPr>
          <t xml:space="preserve">Recess &amp; NAM must be selected 
when ordering Side Channels. 
The factory will take standard deductions. </t>
        </r>
      </text>
    </comment>
    <comment ref="M50" authorId="0" shapeId="0" xr:uid="{AC877316-929F-481B-956B-F75044205FE9}">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0" authorId="0" shapeId="0" xr:uid="{C2D73E43-CF32-47AB-B756-D677BD61D9F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0" authorId="0" shapeId="0" xr:uid="{583B2AA0-88F3-43E3-A146-32278D2520F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0" authorId="0" shapeId="0" xr:uid="{45B2CC5C-F2D6-4676-B44C-1806B1F53E7D}">
      <text>
        <r>
          <rPr>
            <sz val="8"/>
            <color indexed="81"/>
            <rFont val="Tahoma"/>
            <family val="2"/>
          </rPr>
          <t xml:space="preserve">The Motor Power Side options for 
Motors With Power Adapters are;
Left
Right
The Motor Power Side for USB-C 
Power Adaptors must match 
the side of the Wand. </t>
        </r>
      </text>
    </comment>
    <comment ref="R50" authorId="0" shapeId="0" xr:uid="{D98917A3-0FF9-4EB2-B83D-4AEE8AF21E57}">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0" authorId="1" shapeId="0" xr:uid="{B2906202-85B6-4A30-8862-CE4924BD9A87}">
      <text>
        <r>
          <rPr>
            <sz val="9"/>
            <color indexed="81"/>
            <rFont val="Tahoma"/>
            <family val="2"/>
          </rPr>
          <t xml:space="preserve">
The Side Channel Colour 
options are;
Black
Ivory/Classic White
Gray/Earl Gray
White/Snow White</t>
        </r>
      </text>
    </comment>
    <comment ref="T50" authorId="0" shapeId="0" xr:uid="{12B3135A-BCBB-48F9-AD65-65534089A3FD}">
      <text>
        <r>
          <rPr>
            <sz val="8"/>
            <color indexed="81"/>
            <rFont val="Tahoma"/>
            <family val="2"/>
          </rPr>
          <t>If the Blind m2 is 
oversized, then 
"Check Size" 
will be listed.</t>
        </r>
      </text>
    </comment>
    <comment ref="U50" authorId="0" shapeId="0" xr:uid="{AC97CDF1-6BFD-4804-B546-03226EFD8F9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0" authorId="0" shapeId="0" xr:uid="{0B9DB0C6-574D-4CD8-9EA8-936CC6D8F812}">
      <text>
        <r>
          <rPr>
            <sz val="8"/>
            <color indexed="81"/>
            <rFont val="Tahoma"/>
            <family val="2"/>
          </rPr>
          <t>Please use this section 
to specify 
any Special Requirements
for the Line/Order.</t>
        </r>
      </text>
    </comment>
    <comment ref="D51" authorId="0" shapeId="0" xr:uid="{3FC08BF3-7F0F-4BBA-B9CC-C67B8B5567F9}">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1" authorId="0" shapeId="0" xr:uid="{FC7F948B-A9C3-425F-983F-80D9AD005F7F}">
      <text>
        <r>
          <rPr>
            <sz val="8"/>
            <color indexed="81"/>
            <rFont val="Tahoma"/>
            <family val="2"/>
          </rPr>
          <t>Product options are;
25mm Single Cellular Blind
38mm Single Cellular Blind
45mm Single Cellular Blind
38mm Double Cellular Blind
45mm Single Cellular Cell In A Cell Blind</t>
        </r>
      </text>
    </comment>
    <comment ref="F51" authorId="0" shapeId="0" xr:uid="{AD03E25F-7ADE-4A9C-A6EA-A024F5EEE050}">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1" authorId="0" shapeId="0" xr:uid="{0A5AFFD0-5ECB-470E-A81F-6BB38E221889}">
      <text>
        <r>
          <rPr>
            <sz val="8"/>
            <color indexed="81"/>
            <rFont val="Tahoma"/>
            <family val="2"/>
          </rPr>
          <t>The Colour is dependent on the 
Fabric option selected. 
For a Day Night Blind, 
this Colour is for the 
Top Blind which can be either 
Blockout or Translucent.</t>
        </r>
      </text>
    </comment>
    <comment ref="H51" authorId="0" shapeId="0" xr:uid="{30C0D53A-5BAD-420F-A87D-89CD791F2714}">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1" authorId="0" shapeId="0" xr:uid="{A765CF41-498D-433F-95FB-25D24AFA7C6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1" authorId="0" shapeId="0" xr:uid="{F5E12697-F6A1-45EA-B0D4-494FFF99839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1" authorId="0" shapeId="0" xr:uid="{76395BCD-306D-487E-BA6E-7F55D5E36527}">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1" authorId="0" shapeId="0" xr:uid="{E3387828-B6D8-401D-AD51-5A682F36A36B}">
      <text>
        <r>
          <rPr>
            <sz val="8"/>
            <color indexed="81"/>
            <rFont val="Tahoma"/>
            <family val="2"/>
          </rPr>
          <t xml:space="preserve">Recess &amp; NAM must be selected 
when ordering Side Channels. 
The factory will take standard deductions. </t>
        </r>
      </text>
    </comment>
    <comment ref="M51" authorId="0" shapeId="0" xr:uid="{990C2173-31DD-49CC-9381-D4A68D8C45B9}">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1" authorId="0" shapeId="0" xr:uid="{8E27B5F6-3A22-4851-B659-F70734C2C25C}">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1" authorId="0" shapeId="0" xr:uid="{6FF12E5F-9C9C-458F-A6F6-8330E1E2C96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1" authorId="0" shapeId="0" xr:uid="{6E05E4BF-4156-4727-B5A5-78F94B73DE28}">
      <text>
        <r>
          <rPr>
            <sz val="8"/>
            <color indexed="81"/>
            <rFont val="Tahoma"/>
            <family val="2"/>
          </rPr>
          <t xml:space="preserve">The Motor Power Side options for 
Motors With Power Adapters are;
Left
Right
The Motor Power Side for USB-C 
Power Adaptors must match 
the side of the Wand. </t>
        </r>
      </text>
    </comment>
    <comment ref="R51" authorId="0" shapeId="0" xr:uid="{097236A5-6D68-429F-89BA-8FEDC96FC271}">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1" authorId="1" shapeId="0" xr:uid="{459A3021-0861-4FC0-B49F-42A7C868D9EF}">
      <text>
        <r>
          <rPr>
            <sz val="9"/>
            <color indexed="81"/>
            <rFont val="Tahoma"/>
            <family val="2"/>
          </rPr>
          <t xml:space="preserve">
The Side Channel Colour 
options are;
Black
Ivory/Classic White
Gray/Earl Gray
White/Snow White</t>
        </r>
      </text>
    </comment>
    <comment ref="T51" authorId="0" shapeId="0" xr:uid="{B6A27D81-AEDE-47B6-BA8C-0C28BE9C2F0E}">
      <text>
        <r>
          <rPr>
            <sz val="8"/>
            <color indexed="81"/>
            <rFont val="Tahoma"/>
            <family val="2"/>
          </rPr>
          <t>If the Blind m2 is 
oversized, then 
"Check Size" 
will be listed.</t>
        </r>
      </text>
    </comment>
    <comment ref="U51" authorId="0" shapeId="0" xr:uid="{CD4BF8B8-B8E2-4B16-8F59-3E448225DBE3}">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1" authorId="0" shapeId="0" xr:uid="{7849312B-AD55-4F34-A7D5-11D5EFD0BF51}">
      <text>
        <r>
          <rPr>
            <sz val="8"/>
            <color indexed="81"/>
            <rFont val="Tahoma"/>
            <family val="2"/>
          </rPr>
          <t>Please use this section 
to specify 
any Special Requirements
for the Line/Order.</t>
        </r>
      </text>
    </comment>
    <comment ref="D52" authorId="0" shapeId="0" xr:uid="{3E482958-AAC0-424E-A385-ED45366CFC6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2" authorId="0" shapeId="0" xr:uid="{72FFC3B9-0A32-4710-9CF7-B66D1A7B7B4F}">
      <text>
        <r>
          <rPr>
            <sz val="8"/>
            <color indexed="81"/>
            <rFont val="Tahoma"/>
            <family val="2"/>
          </rPr>
          <t>Product options are;
25mm Single Cellular Blind
38mm Single Cellular Blind
45mm Single Cellular Blind
38mm Double Cellular Blind
45mm Single Cellular Cell In A Cell Blind</t>
        </r>
      </text>
    </comment>
    <comment ref="F52" authorId="0" shapeId="0" xr:uid="{7D27D83E-42D9-4CBC-B04F-94063ED2D1F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2" authorId="0" shapeId="0" xr:uid="{26164F38-B135-49ED-9D9A-731587545572}">
      <text>
        <r>
          <rPr>
            <sz val="8"/>
            <color indexed="81"/>
            <rFont val="Tahoma"/>
            <family val="2"/>
          </rPr>
          <t>The Colour is dependent on the 
Fabric option selected. 
For a Day Night Blind, 
this Colour is for the 
Top Blind which can be either 
Blockout or Translucent.</t>
        </r>
      </text>
    </comment>
    <comment ref="H52" authorId="0" shapeId="0" xr:uid="{D4C8AE89-EC50-4141-9265-5FF845DDB2F5}">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2" authorId="0" shapeId="0" xr:uid="{F9655143-2EB7-46D4-82C5-60C0A21D95FC}">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2" authorId="0" shapeId="0" xr:uid="{440778EC-6067-4C46-BB35-E5C5E60F447F}">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2" authorId="0" shapeId="0" xr:uid="{855B9D57-68CF-49BF-BF74-AB1178BB29F1}">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2" authorId="0" shapeId="0" xr:uid="{8B2092E3-3AAF-448C-ABA4-FF55F7846318}">
      <text>
        <r>
          <rPr>
            <sz val="8"/>
            <color indexed="81"/>
            <rFont val="Tahoma"/>
            <family val="2"/>
          </rPr>
          <t xml:space="preserve">Recess &amp; NAM must be selected 
when ordering Side Channels. 
The factory will take standard deductions. </t>
        </r>
      </text>
    </comment>
    <comment ref="M52" authorId="0" shapeId="0" xr:uid="{BBBC0733-FD3A-470C-9B2A-97BB1F48289B}">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2" authorId="0" shapeId="0" xr:uid="{9AD57E16-77E4-413D-B309-9705F483465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2" authorId="0" shapeId="0" xr:uid="{D84A5580-2212-469B-95DA-50FF088006F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2" authorId="0" shapeId="0" xr:uid="{51AFCFEE-40FF-4345-9693-73AF8380BF3A}">
      <text>
        <r>
          <rPr>
            <sz val="8"/>
            <color indexed="81"/>
            <rFont val="Tahoma"/>
            <family val="2"/>
          </rPr>
          <t xml:space="preserve">The Motor Power Side options for 
Motors With Power Adapters are;
Left
Right
The Motor Power Side for USB-C 
Power Adaptors must match 
the side of the Wand. </t>
        </r>
      </text>
    </comment>
    <comment ref="R52" authorId="0" shapeId="0" xr:uid="{BCCF1C63-D3DC-4DB3-A878-659521185E70}">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2" authorId="1" shapeId="0" xr:uid="{0ECF3429-3D44-423F-9046-3B439637B08F}">
      <text>
        <r>
          <rPr>
            <sz val="9"/>
            <color indexed="81"/>
            <rFont val="Tahoma"/>
            <family val="2"/>
          </rPr>
          <t xml:space="preserve">
The Side Channel Colour 
options are;
Black
Ivory/Classic White
Gray/Earl Gray
White/Snow White</t>
        </r>
      </text>
    </comment>
    <comment ref="T52" authorId="0" shapeId="0" xr:uid="{32EC135B-B616-439A-8466-5BF39DA168D1}">
      <text>
        <r>
          <rPr>
            <sz val="8"/>
            <color indexed="81"/>
            <rFont val="Tahoma"/>
            <family val="2"/>
          </rPr>
          <t>If the Blind m2 is 
oversized, then 
"Check Size" 
will be listed.</t>
        </r>
      </text>
    </comment>
    <comment ref="U52" authorId="0" shapeId="0" xr:uid="{3D2497AF-EFA5-44EB-B2E0-CDAF8CFBD78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2" authorId="0" shapeId="0" xr:uid="{AD247330-20B0-4A42-9746-CECBA3284E88}">
      <text>
        <r>
          <rPr>
            <sz val="8"/>
            <color indexed="81"/>
            <rFont val="Tahoma"/>
            <family val="2"/>
          </rPr>
          <t>Please use this section 
to specify 
any Special Requirements
for the Line/Order.</t>
        </r>
      </text>
    </comment>
    <comment ref="D53" authorId="0" shapeId="0" xr:uid="{2E5F9FAB-D382-43B5-A3C9-80588FA59554}">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3" authorId="0" shapeId="0" xr:uid="{D3CF29ED-0A43-44EB-B86C-556B16055198}">
      <text>
        <r>
          <rPr>
            <sz val="8"/>
            <color indexed="81"/>
            <rFont val="Tahoma"/>
            <family val="2"/>
          </rPr>
          <t>Product options are;
25mm Single Cellular Blind
38mm Single Cellular Blind
45mm Single Cellular Blind
38mm Double Cellular Blind
45mm Single Cellular Cell In A Cell Blind</t>
        </r>
      </text>
    </comment>
    <comment ref="F53" authorId="0" shapeId="0" xr:uid="{61913731-4E68-4932-B50A-D29FF0292ED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3" authorId="0" shapeId="0" xr:uid="{7FF7C533-FD47-49AA-8AB6-D8AE73646DF6}">
      <text>
        <r>
          <rPr>
            <sz val="8"/>
            <color indexed="81"/>
            <rFont val="Tahoma"/>
            <family val="2"/>
          </rPr>
          <t>The Colour is dependent on the 
Fabric option selected. 
For a Day Night Blind, 
this Colour is for the 
Top Blind which can be either 
Blockout or Translucent.</t>
        </r>
      </text>
    </comment>
    <comment ref="H53" authorId="0" shapeId="0" xr:uid="{F280BBAD-7708-4008-8851-B328FFB367E2}">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3" authorId="0" shapeId="0" xr:uid="{03F490EA-6F3B-40E9-9915-EADBC00CA86C}">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3" authorId="0" shapeId="0" xr:uid="{AF183E74-3A65-4623-B2F9-6884F6F92DB2}">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3" authorId="0" shapeId="0" xr:uid="{1F3E47E5-CCE3-432A-A333-8EDAA4B78110}">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3" authorId="0" shapeId="0" xr:uid="{96391380-CFE4-4408-9F1E-F7DE0B1DD26B}">
      <text>
        <r>
          <rPr>
            <sz val="8"/>
            <color indexed="81"/>
            <rFont val="Tahoma"/>
            <family val="2"/>
          </rPr>
          <t xml:space="preserve">Recess &amp; NAM must be selected 
when ordering Side Channels. 
The factory will take standard deductions. </t>
        </r>
      </text>
    </comment>
    <comment ref="M53" authorId="0" shapeId="0" xr:uid="{BD947E33-324B-4B39-8F16-78FC94B2C052}">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3" authorId="0" shapeId="0" xr:uid="{43290253-8B06-4A0A-82B7-C91C95A5DC95}">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3" authorId="0" shapeId="0" xr:uid="{FB2A29EE-0C98-409E-BD8F-41AB881468B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3" authorId="0" shapeId="0" xr:uid="{216F0CBF-1E32-4E1B-BD6D-BD0AC04EA221}">
      <text>
        <r>
          <rPr>
            <sz val="8"/>
            <color indexed="81"/>
            <rFont val="Tahoma"/>
            <family val="2"/>
          </rPr>
          <t xml:space="preserve">The Motor Power Side options for 
Motors With Power Adapters are;
Left
Right
The Motor Power Side for USB-C 
Power Adaptors must match 
the side of the Wand. </t>
        </r>
      </text>
    </comment>
    <comment ref="R53" authorId="0" shapeId="0" xr:uid="{8D428D71-3CAD-40B7-9207-3B1EA9EF9DE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3" authorId="1" shapeId="0" xr:uid="{B22F0A26-9835-4945-908B-21A35E9D7955}">
      <text>
        <r>
          <rPr>
            <sz val="9"/>
            <color indexed="81"/>
            <rFont val="Tahoma"/>
            <family val="2"/>
          </rPr>
          <t xml:space="preserve">
The Side Channel Colour 
options are;
Black
Ivory/Classic White
Gray/Earl Gray
White/Snow White</t>
        </r>
      </text>
    </comment>
    <comment ref="T53" authorId="0" shapeId="0" xr:uid="{9AADAB73-704C-479A-AD52-5A5BE15E8A01}">
      <text>
        <r>
          <rPr>
            <sz val="8"/>
            <color indexed="81"/>
            <rFont val="Tahoma"/>
            <family val="2"/>
          </rPr>
          <t>If the Blind m2 is 
oversized, then 
"Check Size" 
will be listed.</t>
        </r>
      </text>
    </comment>
    <comment ref="U53" authorId="0" shapeId="0" xr:uid="{A797530D-CFC1-4076-834E-5FB4D847ECB7}">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3" authorId="0" shapeId="0" xr:uid="{8D9CCB47-06CA-4ADE-B9D3-1925E3B23346}">
      <text>
        <r>
          <rPr>
            <sz val="8"/>
            <color indexed="81"/>
            <rFont val="Tahoma"/>
            <family val="2"/>
          </rPr>
          <t>Please use this section 
to specify 
any Special Requirements
for the Line/Order.</t>
        </r>
      </text>
    </comment>
    <comment ref="D54" authorId="0" shapeId="0" xr:uid="{DE0A2484-91FD-4130-84AA-4310FCD17C52}">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4" authorId="0" shapeId="0" xr:uid="{C35D2958-72F1-423D-8BD7-1E7FBB477F6E}">
      <text>
        <r>
          <rPr>
            <sz val="8"/>
            <color indexed="81"/>
            <rFont val="Tahoma"/>
            <family val="2"/>
          </rPr>
          <t>Product options are;
25mm Single Cellular Blind
38mm Single Cellular Blind
45mm Single Cellular Blind
38mm Double Cellular Blind
45mm Single Cellular Cell In A Cell Blind</t>
        </r>
      </text>
    </comment>
    <comment ref="F54" authorId="0" shapeId="0" xr:uid="{53767134-C00B-454D-99E2-39EE89A034D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4" authorId="0" shapeId="0" xr:uid="{AD83D584-1A31-4CA7-A631-87E8F5B6A819}">
      <text>
        <r>
          <rPr>
            <sz val="8"/>
            <color indexed="81"/>
            <rFont val="Tahoma"/>
            <family val="2"/>
          </rPr>
          <t>The Colour is dependent on the 
Fabric option selected. 
For a Day Night Blind, 
this Colour is for the 
Top Blind which can be either 
Blockout or Translucent.</t>
        </r>
      </text>
    </comment>
    <comment ref="H54" authorId="0" shapeId="0" xr:uid="{3CDE26F7-D64A-457B-9419-D3D094AFC84A}">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4" authorId="0" shapeId="0" xr:uid="{E62C8352-8AF7-48F6-967B-4CC85B66772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4" authorId="0" shapeId="0" xr:uid="{8B8922BD-3BD6-4FE6-A642-4340925B5629}">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4" authorId="0" shapeId="0" xr:uid="{95285D39-3947-4C07-88F2-82785192961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4" authorId="0" shapeId="0" xr:uid="{C92CC76D-7C2C-4D15-B419-E1BF60014C0E}">
      <text>
        <r>
          <rPr>
            <sz val="8"/>
            <color indexed="81"/>
            <rFont val="Tahoma"/>
            <family val="2"/>
          </rPr>
          <t xml:space="preserve">Recess &amp; NAM must be selected 
when ordering Side Channels. 
The factory will take standard deductions. </t>
        </r>
      </text>
    </comment>
    <comment ref="M54" authorId="0" shapeId="0" xr:uid="{F1CB5B1F-9485-4868-A5D4-5A547A2366CA}">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4" authorId="0" shapeId="0" xr:uid="{423F2ADD-DCE4-40CA-8331-EBD028968687}">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4" authorId="0" shapeId="0" xr:uid="{DAA711E5-C264-42F1-B7D4-26A5494F4459}">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4" authorId="0" shapeId="0" xr:uid="{28A141BD-F180-4EE2-A88B-6A48090990D8}">
      <text>
        <r>
          <rPr>
            <sz val="8"/>
            <color indexed="81"/>
            <rFont val="Tahoma"/>
            <family val="2"/>
          </rPr>
          <t xml:space="preserve">The Motor Power Side options for 
Motors With Power Adapters are;
Left
Right
The Motor Power Side for USB-C 
Power Adaptors must match 
the side of the Wand. </t>
        </r>
      </text>
    </comment>
    <comment ref="R54" authorId="0" shapeId="0" xr:uid="{4ACE66EA-4705-4956-9D7B-E8C02B1DC99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4" authorId="1" shapeId="0" xr:uid="{A1175B18-37BC-42D8-9708-255E05E45362}">
      <text>
        <r>
          <rPr>
            <sz val="9"/>
            <color indexed="81"/>
            <rFont val="Tahoma"/>
            <family val="2"/>
          </rPr>
          <t xml:space="preserve">
The Side Channel Colour 
options are;
Black
Ivory/Classic White
Gray/Earl Gray
White/Snow White</t>
        </r>
      </text>
    </comment>
    <comment ref="T54" authorId="0" shapeId="0" xr:uid="{0B98BAC2-21E6-491D-B373-457F0AF5E562}">
      <text>
        <r>
          <rPr>
            <sz val="8"/>
            <color indexed="81"/>
            <rFont val="Tahoma"/>
            <family val="2"/>
          </rPr>
          <t>If the Blind m2 is 
oversized, then 
"Check Size" 
will be listed.</t>
        </r>
      </text>
    </comment>
    <comment ref="U54" authorId="0" shapeId="0" xr:uid="{6A26FDA6-D980-46DF-A6D0-22AAC0B56552}">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4" authorId="0" shapeId="0" xr:uid="{391BD243-87C0-4A5C-A1DF-5E369C774A15}">
      <text>
        <r>
          <rPr>
            <sz val="8"/>
            <color indexed="81"/>
            <rFont val="Tahoma"/>
            <family val="2"/>
          </rPr>
          <t>Please use this section 
to specify 
any Special Requirements
for the Line/Order.</t>
        </r>
      </text>
    </comment>
    <comment ref="D55" authorId="0" shapeId="0" xr:uid="{0C52ECD5-B8DC-42AE-834E-A3B12437837B}">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5" authorId="0" shapeId="0" xr:uid="{B2374084-74D2-4F0F-BEC8-8C1A7DB2958C}">
      <text>
        <r>
          <rPr>
            <sz val="8"/>
            <color indexed="81"/>
            <rFont val="Tahoma"/>
            <family val="2"/>
          </rPr>
          <t>Product options are;
25mm Single Cellular Blind
38mm Single Cellular Blind
45mm Single Cellular Blind
38mm Double Cellular Blind
45mm Single Cellular Cell In A Cell Blind</t>
        </r>
      </text>
    </comment>
    <comment ref="F55" authorId="0" shapeId="0" xr:uid="{4DEE479C-38F8-4AF7-B02E-E24E62F40EB2}">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5" authorId="0" shapeId="0" xr:uid="{06785D70-B91E-4884-A390-3EB853A6047E}">
      <text>
        <r>
          <rPr>
            <sz val="8"/>
            <color indexed="81"/>
            <rFont val="Tahoma"/>
            <family val="2"/>
          </rPr>
          <t>The Colour is dependent on the 
Fabric option selected. 
For a Day Night Blind, 
this Colour is for the 
Top Blind which can be either 
Blockout or Translucent.</t>
        </r>
      </text>
    </comment>
    <comment ref="H55" authorId="0" shapeId="0" xr:uid="{2EB1AE90-8EE9-46BB-81D4-9122606E828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5" authorId="0" shapeId="0" xr:uid="{8A6971DA-8728-4C11-B442-B06700F449B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5" authorId="0" shapeId="0" xr:uid="{DAE9E5F9-3AD8-4D1C-8B79-B46694999AD7}">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5" authorId="0" shapeId="0" xr:uid="{B0D6182D-D9F1-499B-A7E4-2BB8422A598C}">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5" authorId="0" shapeId="0" xr:uid="{61B46A42-87BC-4D41-BC3A-AC6DC019E8C8}">
      <text>
        <r>
          <rPr>
            <sz val="8"/>
            <color indexed="81"/>
            <rFont val="Tahoma"/>
            <family val="2"/>
          </rPr>
          <t xml:space="preserve">Recess &amp; NAM must be selected 
when ordering Side Channels. 
The factory will take standard deductions. </t>
        </r>
      </text>
    </comment>
    <comment ref="M55" authorId="0" shapeId="0" xr:uid="{3AA222CC-1E21-43DF-86CC-500FE8D3EB8B}">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5" authorId="0" shapeId="0" xr:uid="{DA0AC35B-C710-43BC-8C21-D2B52B3EA67A}">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5" authorId="0" shapeId="0" xr:uid="{FA33FF16-CB03-4673-8DF2-13052D44E025}">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5" authorId="0" shapeId="0" xr:uid="{4D24B006-7023-4A02-B649-C9302E57DC54}">
      <text>
        <r>
          <rPr>
            <sz val="8"/>
            <color indexed="81"/>
            <rFont val="Tahoma"/>
            <family val="2"/>
          </rPr>
          <t xml:space="preserve">The Motor Power Side options for 
Motors With Power Adapters are;
Left
Right
The Motor Power Side for USB-C 
Power Adaptors must match 
the side of the Wand. </t>
        </r>
      </text>
    </comment>
    <comment ref="R55" authorId="0" shapeId="0" xr:uid="{D16DB00D-0E0E-4BEE-B055-DC77BF6395F9}">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5" authorId="1" shapeId="0" xr:uid="{C5C9A939-AB55-4BB0-B3D4-48FDBF397C5C}">
      <text>
        <r>
          <rPr>
            <sz val="9"/>
            <color indexed="81"/>
            <rFont val="Tahoma"/>
            <family val="2"/>
          </rPr>
          <t xml:space="preserve">
The Side Channel Colour 
options are;
Black
Ivory/Classic White
Gray/Earl Gray
White/Snow White</t>
        </r>
      </text>
    </comment>
    <comment ref="T55" authorId="0" shapeId="0" xr:uid="{2F2A9023-1BAA-4F31-B376-34F179A78EAA}">
      <text>
        <r>
          <rPr>
            <sz val="8"/>
            <color indexed="81"/>
            <rFont val="Tahoma"/>
            <family val="2"/>
          </rPr>
          <t>If the Blind m2 is 
oversized, then 
"Check Size" 
will be listed.</t>
        </r>
      </text>
    </comment>
    <comment ref="U55" authorId="0" shapeId="0" xr:uid="{92144E05-B02B-45FF-B61B-8E2126043F7A}">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5" authorId="0" shapeId="0" xr:uid="{9C8C885E-ED74-4122-8D9F-3CC9A05C78FB}">
      <text>
        <r>
          <rPr>
            <sz val="8"/>
            <color indexed="81"/>
            <rFont val="Tahoma"/>
            <family val="2"/>
          </rPr>
          <t>Please use this section 
to specify 
any Special Requirements
for the Line/Order.</t>
        </r>
      </text>
    </comment>
    <comment ref="D56" authorId="0" shapeId="0" xr:uid="{D18B8E5E-6B7E-4DB8-8BB6-0026F554F86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6" authorId="0" shapeId="0" xr:uid="{08135868-94D6-40C3-88DE-50A6935796FA}">
      <text>
        <r>
          <rPr>
            <sz val="8"/>
            <color indexed="81"/>
            <rFont val="Tahoma"/>
            <family val="2"/>
          </rPr>
          <t>Product options are;
25mm Single Cellular Blind
38mm Single Cellular Blind
45mm Single Cellular Blind
38mm Double Cellular Blind
45mm Single Cellular Cell In A Cell Blind</t>
        </r>
      </text>
    </comment>
    <comment ref="F56" authorId="0" shapeId="0" xr:uid="{AFD00687-DD14-4EC6-AC28-8D4AF4D60258}">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6" authorId="0" shapeId="0" xr:uid="{A3EE26B3-1369-4ACB-8DD7-91629443D904}">
      <text>
        <r>
          <rPr>
            <sz val="8"/>
            <color indexed="81"/>
            <rFont val="Tahoma"/>
            <family val="2"/>
          </rPr>
          <t>The Colour is dependent on the 
Fabric option selected. 
For a Day Night Blind, 
this Colour is for the 
Top Blind which can be either 
Blockout or Translucent.</t>
        </r>
      </text>
    </comment>
    <comment ref="H56" authorId="0" shapeId="0" xr:uid="{890C2EE3-B991-4EE7-8367-7CDD12E63F7C}">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6" authorId="0" shapeId="0" xr:uid="{458215D2-8358-4973-B2F0-34FB454C4614}">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6" authorId="0" shapeId="0" xr:uid="{54315CE5-C19C-4D77-A80A-B5500DB4D91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6" authorId="0" shapeId="0" xr:uid="{6480DF41-1980-4A2E-8817-F40CCAC54059}">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6" authorId="0" shapeId="0" xr:uid="{52549F84-2188-40D7-BBF9-985467C8E2D0}">
      <text>
        <r>
          <rPr>
            <sz val="8"/>
            <color indexed="81"/>
            <rFont val="Tahoma"/>
            <family val="2"/>
          </rPr>
          <t xml:space="preserve">Recess &amp; NAM must be selected 
when ordering Side Channels. 
The factory will take standard deductions. </t>
        </r>
      </text>
    </comment>
    <comment ref="M56" authorId="0" shapeId="0" xr:uid="{031AE41F-0F5E-4EDF-B3F2-25BC14D9ABA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6" authorId="0" shapeId="0" xr:uid="{5791E84A-93B9-4AF5-9C97-64BB4332204C}">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6" authorId="0" shapeId="0" xr:uid="{932681E9-79A8-4DAC-9C97-F43C7D75C1A3}">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6" authorId="0" shapeId="0" xr:uid="{228A6027-E0CE-4ABF-96B7-68F86C4351A9}">
      <text>
        <r>
          <rPr>
            <sz val="8"/>
            <color indexed="81"/>
            <rFont val="Tahoma"/>
            <family val="2"/>
          </rPr>
          <t xml:space="preserve">The Motor Power Side options for 
Motors With Power Adapters are;
Left
Right
The Motor Power Side for USB-C 
Power Adaptors must match 
the side of the Wand. </t>
        </r>
      </text>
    </comment>
    <comment ref="R56" authorId="0" shapeId="0" xr:uid="{7331DBB9-3E2A-4B92-8A85-6CDA0D447AB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6" authorId="1" shapeId="0" xr:uid="{EAA13003-47BE-4110-A806-458F1582AE5A}">
      <text>
        <r>
          <rPr>
            <sz val="9"/>
            <color indexed="81"/>
            <rFont val="Tahoma"/>
            <family val="2"/>
          </rPr>
          <t xml:space="preserve">
The Side Channel Colour 
options are;
Black
Ivory/Classic White
Gray/Earl Gray
White/Snow White</t>
        </r>
      </text>
    </comment>
    <comment ref="T56" authorId="0" shapeId="0" xr:uid="{75A9F607-098E-425E-AA6F-FB511B2C97E9}">
      <text>
        <r>
          <rPr>
            <sz val="8"/>
            <color indexed="81"/>
            <rFont val="Tahoma"/>
            <family val="2"/>
          </rPr>
          <t>If the Blind m2 is 
oversized, then 
"Check Size" 
will be listed.</t>
        </r>
      </text>
    </comment>
    <comment ref="U56" authorId="0" shapeId="0" xr:uid="{1903FAA6-4F7E-42D7-8A74-78EE524D062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6" authorId="0" shapeId="0" xr:uid="{B498E48D-4506-49AD-9AC5-ABF170A0762F}">
      <text>
        <r>
          <rPr>
            <sz val="8"/>
            <color indexed="81"/>
            <rFont val="Tahoma"/>
            <family val="2"/>
          </rPr>
          <t>Please use this section 
to specify 
any Special Requirements
for the Line/Order.</t>
        </r>
      </text>
    </comment>
    <comment ref="D57" authorId="0" shapeId="0" xr:uid="{49A5D0AB-CB01-4077-A4C4-01DC496859F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7" authorId="0" shapeId="0" xr:uid="{21D98680-977D-4BBB-ADF7-290E30FE1285}">
      <text>
        <r>
          <rPr>
            <sz val="8"/>
            <color indexed="81"/>
            <rFont val="Tahoma"/>
            <family val="2"/>
          </rPr>
          <t>Product options are;
25mm Single Cellular Blind
38mm Single Cellular Blind
45mm Single Cellular Blind
38mm Double Cellular Blind
45mm Single Cellular Cell In A Cell Blind</t>
        </r>
      </text>
    </comment>
    <comment ref="F57" authorId="0" shapeId="0" xr:uid="{2B6B371A-A358-47E7-A43C-F7F5FCB31BFF}">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7" authorId="0" shapeId="0" xr:uid="{65937791-E467-486F-8313-66739B5D5D5F}">
      <text>
        <r>
          <rPr>
            <sz val="8"/>
            <color indexed="81"/>
            <rFont val="Tahoma"/>
            <family val="2"/>
          </rPr>
          <t>The Colour is dependent on the 
Fabric option selected. 
For a Day Night Blind, 
this Colour is for the 
Top Blind which can be either 
Blockout or Translucent.</t>
        </r>
      </text>
    </comment>
    <comment ref="H57" authorId="0" shapeId="0" xr:uid="{40AF1356-A00A-4EF8-AD7E-404E568D54CE}">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7" authorId="0" shapeId="0" xr:uid="{6AF26241-0C2F-482B-8175-16E298EF337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7" authorId="0" shapeId="0" xr:uid="{C398E55C-1BE0-431E-8045-9502F8C7A230}">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7" authorId="0" shapeId="0" xr:uid="{753CB8AA-1124-4BF1-B2C0-071BBB83899E}">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7" authorId="0" shapeId="0" xr:uid="{9F45636B-C540-42DE-BC43-B25101C40164}">
      <text>
        <r>
          <rPr>
            <sz val="8"/>
            <color indexed="81"/>
            <rFont val="Tahoma"/>
            <family val="2"/>
          </rPr>
          <t xml:space="preserve">Recess &amp; NAM must be selected 
when ordering Side Channels. 
The factory will take standard deductions. </t>
        </r>
      </text>
    </comment>
    <comment ref="M57" authorId="0" shapeId="0" xr:uid="{D0AD5A5A-65C9-4C54-9CF1-EE4BA1BE8A8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7" authorId="0" shapeId="0" xr:uid="{913E422A-DB99-4EDF-9622-9A84817837A7}">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7" authorId="0" shapeId="0" xr:uid="{1DDF8F50-7984-4241-8421-EF5D201878A9}">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7" authorId="0" shapeId="0" xr:uid="{A964A1B3-5284-4A77-8CC9-A81B111D291F}">
      <text>
        <r>
          <rPr>
            <sz val="8"/>
            <color indexed="81"/>
            <rFont val="Tahoma"/>
            <family val="2"/>
          </rPr>
          <t xml:space="preserve">The Motor Power Side options for 
Motors With Power Adapters are;
Left
Right
The Motor Power Side for USB-C 
Power Adaptors must match 
the side of the Wand. </t>
        </r>
      </text>
    </comment>
    <comment ref="R57" authorId="0" shapeId="0" xr:uid="{DEF33AC0-039A-49E7-8035-5718E116B94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7" authorId="1" shapeId="0" xr:uid="{56383C88-EC05-4221-BA51-527BB2A0F42B}">
      <text>
        <r>
          <rPr>
            <sz val="9"/>
            <color indexed="81"/>
            <rFont val="Tahoma"/>
            <family val="2"/>
          </rPr>
          <t xml:space="preserve">
The Side Channel Colour 
options are;
Black
Ivory/Classic White
Gray/Earl Gray
White/Snow White</t>
        </r>
      </text>
    </comment>
    <comment ref="T57" authorId="0" shapeId="0" xr:uid="{EF2A8EFE-4659-4C59-934F-A38B43D6A5F9}">
      <text>
        <r>
          <rPr>
            <sz val="8"/>
            <color indexed="81"/>
            <rFont val="Tahoma"/>
            <family val="2"/>
          </rPr>
          <t>If the Blind m2 is 
oversized, then 
"Check Size" 
will be listed.</t>
        </r>
      </text>
    </comment>
    <comment ref="U57" authorId="0" shapeId="0" xr:uid="{6292CADA-88E2-4D99-A9BB-3539662FA62B}">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7" authorId="0" shapeId="0" xr:uid="{2A1F0F3B-10DF-477A-AE8B-63B46220989F}">
      <text>
        <r>
          <rPr>
            <sz val="8"/>
            <color indexed="81"/>
            <rFont val="Tahoma"/>
            <family val="2"/>
          </rPr>
          <t>Please use this section 
to specify 
any Special Requirements
for the Line/Order.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7" authorId="0" shapeId="0" xr:uid="{00000000-0006-0000-0700-000001000000}">
      <text>
        <r>
          <rPr>
            <sz val="8"/>
            <color indexed="81"/>
            <rFont val="Tahoma"/>
            <family val="2"/>
          </rPr>
          <t>Fabric options are;
Amalfi
Como (Blockout)
Como (Translucent)
Florence
London
Maui
Milan
Pompeii
Rome (Blockout)
Rome (Translucent)
Sunscreen</t>
        </r>
      </text>
    </comment>
    <comment ref="E7" authorId="0" shapeId="0" xr:uid="{00000000-0006-0000-0700-00000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7" authorId="0" shapeId="0" xr:uid="{00000000-0006-0000-0700-00000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7" authorId="0" shapeId="0" xr:uid="{00000000-0006-0000-0700-000004000000}">
      <text>
        <r>
          <rPr>
            <sz val="8"/>
            <color indexed="81"/>
            <rFont val="Tahoma"/>
            <family val="2"/>
          </rPr>
          <t xml:space="preserve">Minimum Height/Drop is 500mm.
Maximum Height/Drop is 3000mm. </t>
        </r>
      </text>
    </comment>
    <comment ref="H7" authorId="0" shapeId="0" xr:uid="{00000000-0006-0000-0700-000005000000}">
      <text>
        <r>
          <rPr>
            <sz val="8"/>
            <color indexed="81"/>
            <rFont val="Tahoma"/>
            <family val="2"/>
          </rPr>
          <t xml:space="preserve">
Panel Quantities 
options;
2
3
4
5
6
7
9
Please note; 
Minimum Panel Width is 400mm.
Maximum Panel Width is 1000mm.</t>
        </r>
      </text>
    </comment>
    <comment ref="I7" authorId="0" shapeId="0" xr:uid="{00000000-0006-0000-0700-00000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7" authorId="0" shapeId="0" xr:uid="{00000000-0006-0000-0700-000007000000}">
      <text>
        <r>
          <rPr>
            <sz val="8"/>
            <color indexed="81"/>
            <rFont val="Tahoma"/>
            <family val="2"/>
          </rPr>
          <t>When selecting a
Corner or Bay 
Window Type, 
the 
CMB Corner WS 
or 
CMB Bay WS 
must be completed.</t>
        </r>
      </text>
    </comment>
    <comment ref="L7" authorId="0" shapeId="0" xr:uid="{00000000-0006-0000-0700-000008000000}">
      <text>
        <r>
          <rPr>
            <sz val="8"/>
            <color indexed="81"/>
            <rFont val="Tahoma"/>
            <family val="2"/>
          </rPr>
          <t>ACT 
Actual Measurements
You have made the allowances.
NAM
No Allowances Made 
The factory will make the deductions.</t>
        </r>
      </text>
    </comment>
    <comment ref="N7" authorId="0" shapeId="0" xr:uid="{00000000-0006-0000-0700-000009000000}">
      <text>
        <r>
          <rPr>
            <sz val="8"/>
            <color indexed="81"/>
            <rFont val="Tahoma"/>
            <family val="2"/>
          </rPr>
          <t>Track Colour options are;
Clear Anodised
Black
White
White Birch
Please note; 
All Blinds are supplied 
with a Clear Anodised Wand.</t>
        </r>
      </text>
    </comment>
    <comment ref="O7" authorId="0" shapeId="0" xr:uid="{00000000-0006-0000-0700-00000A000000}">
      <text>
        <r>
          <rPr>
            <sz val="8"/>
            <color indexed="81"/>
            <rFont val="Tahoma"/>
            <family val="2"/>
          </rPr>
          <t xml:space="preserve">
Finish options;
Sewn In Pocket
Bottom Rail</t>
        </r>
      </text>
    </comment>
    <comment ref="P7" authorId="0" shapeId="0" xr:uid="{00000000-0006-0000-0700-00000B000000}">
      <text>
        <r>
          <rPr>
            <sz val="8"/>
            <color indexed="81"/>
            <rFont val="Tahoma"/>
            <family val="2"/>
          </rPr>
          <t xml:space="preserve">
Bottom Rail Colour options;
Bright Silver
Clear Anodised
Metallic Black
Mocha
White
White Birch</t>
        </r>
      </text>
    </comment>
    <comment ref="Q7" authorId="0" shapeId="0" xr:uid="{00000000-0006-0000-0700-00000C000000}">
      <text>
        <r>
          <rPr>
            <sz val="8"/>
            <color indexed="81"/>
            <rFont val="Tahoma"/>
            <family val="2"/>
          </rPr>
          <t>When
 Standard or Common 
is selected the 
Pelmet Colour 
must be entered.</t>
        </r>
      </text>
    </comment>
    <comment ref="D8" authorId="0" shapeId="0" xr:uid="{00000000-0006-0000-0700-00000D000000}">
      <text>
        <r>
          <rPr>
            <sz val="8"/>
            <color indexed="81"/>
            <rFont val="Tahoma"/>
            <family val="2"/>
          </rPr>
          <t>Fabric options are;
Amalfi
Como (Blockout)
Como (Translucent)
Florence
London
Maui
Milan
Pompeii
Rome (Blockout)
Rome (Translucent)
Sunscreen</t>
        </r>
      </text>
    </comment>
    <comment ref="E8" authorId="0" shapeId="0" xr:uid="{00000000-0006-0000-0700-00000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8" authorId="0" shapeId="0" xr:uid="{00000000-0006-0000-0700-00000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8" authorId="0" shapeId="0" xr:uid="{00000000-0006-0000-0700-000010000000}">
      <text>
        <r>
          <rPr>
            <sz val="8"/>
            <color indexed="81"/>
            <rFont val="Tahoma"/>
            <family val="2"/>
          </rPr>
          <t xml:space="preserve">Minimum Height/Drop is 500mm.
Maximum Height/Drop is 3000mm. </t>
        </r>
      </text>
    </comment>
    <comment ref="H8" authorId="0" shapeId="0" xr:uid="{00000000-0006-0000-0700-000011000000}">
      <text>
        <r>
          <rPr>
            <sz val="8"/>
            <color indexed="81"/>
            <rFont val="Tahoma"/>
            <family val="2"/>
          </rPr>
          <t xml:space="preserve">
Panel Quantities 
options;
2
3
4
5
6
7
9
Please note; 
Minimum Panel Width is 400mm.
Maximum Panel Width is 1000mm.</t>
        </r>
      </text>
    </comment>
    <comment ref="I8" authorId="0" shapeId="0" xr:uid="{00000000-0006-0000-0700-00001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8" authorId="0" shapeId="0" xr:uid="{00000000-0006-0000-0700-000013000000}">
      <text>
        <r>
          <rPr>
            <sz val="8"/>
            <color indexed="81"/>
            <rFont val="Tahoma"/>
            <family val="2"/>
          </rPr>
          <t>When selecting a
Corner or Bay 
Window Type, 
the 
CMB Corner WS 
or 
CMB Bay WS 
must be completed.</t>
        </r>
      </text>
    </comment>
    <comment ref="L8" authorId="0" shapeId="0" xr:uid="{00000000-0006-0000-0700-000014000000}">
      <text>
        <r>
          <rPr>
            <sz val="8"/>
            <color indexed="81"/>
            <rFont val="Tahoma"/>
            <family val="2"/>
          </rPr>
          <t>ACT 
Actual Measurements
You have made the allowances.
NAM
No Allowances Made 
The factory will make the deductions.</t>
        </r>
      </text>
    </comment>
    <comment ref="N8" authorId="0" shapeId="0" xr:uid="{00000000-0006-0000-0700-000015000000}">
      <text>
        <r>
          <rPr>
            <sz val="8"/>
            <color indexed="81"/>
            <rFont val="Tahoma"/>
            <family val="2"/>
          </rPr>
          <t>Track Colour options are;
Clear Anodised
Black
White
White Birch
Please note; 
All Blinds are supplied 
with a Clear Anodised Wand.</t>
        </r>
      </text>
    </comment>
    <comment ref="O8" authorId="0" shapeId="0" xr:uid="{00000000-0006-0000-0700-000016000000}">
      <text>
        <r>
          <rPr>
            <sz val="8"/>
            <color indexed="81"/>
            <rFont val="Tahoma"/>
            <family val="2"/>
          </rPr>
          <t xml:space="preserve">
Finish options;
Sewn In Pocket
Bottom Rail</t>
        </r>
      </text>
    </comment>
    <comment ref="P8" authorId="0" shapeId="0" xr:uid="{00000000-0006-0000-0700-000017000000}">
      <text>
        <r>
          <rPr>
            <sz val="8"/>
            <color indexed="81"/>
            <rFont val="Tahoma"/>
            <family val="2"/>
          </rPr>
          <t xml:space="preserve">
Bottom Rail Colour options;
Bright Silver
Clear Anodised
Metallic Black
Mocha
White
White Birch</t>
        </r>
      </text>
    </comment>
    <comment ref="Q8" authorId="0" shapeId="0" xr:uid="{00000000-0006-0000-0700-000018000000}">
      <text>
        <r>
          <rPr>
            <sz val="8"/>
            <color indexed="81"/>
            <rFont val="Tahoma"/>
            <family val="2"/>
          </rPr>
          <t>When
 Standard or Common 
is selected the 
Pelmet Colour 
must be entered.</t>
        </r>
      </text>
    </comment>
    <comment ref="D9" authorId="0" shapeId="0" xr:uid="{00000000-0006-0000-0700-000019000000}">
      <text>
        <r>
          <rPr>
            <sz val="8"/>
            <color indexed="81"/>
            <rFont val="Tahoma"/>
            <family val="2"/>
          </rPr>
          <t>Fabric options are;
Amalfi
Como (Blockout)
Como (Translucent)
Florence
London
Maui
Milan
Pompeii
Rome (Blockout)
Rome (Translucent)
Sunscreen</t>
        </r>
      </text>
    </comment>
    <comment ref="E9" authorId="0" shapeId="0" xr:uid="{00000000-0006-0000-0700-00001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9" authorId="0" shapeId="0" xr:uid="{00000000-0006-0000-0700-00001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9" authorId="0" shapeId="0" xr:uid="{00000000-0006-0000-0700-00001C000000}">
      <text>
        <r>
          <rPr>
            <sz val="8"/>
            <color indexed="81"/>
            <rFont val="Tahoma"/>
            <family val="2"/>
          </rPr>
          <t xml:space="preserve">Minimum Height/Drop is 500mm.
Maximum Height/Drop is 3000mm. </t>
        </r>
      </text>
    </comment>
    <comment ref="H9" authorId="0" shapeId="0" xr:uid="{00000000-0006-0000-0700-00001D000000}">
      <text>
        <r>
          <rPr>
            <sz val="8"/>
            <color indexed="81"/>
            <rFont val="Tahoma"/>
            <family val="2"/>
          </rPr>
          <t xml:space="preserve">
Panel Quantities 
options;
2
3
4
5
6
7
9
Please note; 
Minimum Panel Width is 400mm.
Maximum Panel Width is 1000mm.</t>
        </r>
      </text>
    </comment>
    <comment ref="I9" authorId="0" shapeId="0" xr:uid="{00000000-0006-0000-0700-00001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9" authorId="0" shapeId="0" xr:uid="{00000000-0006-0000-0700-00001F000000}">
      <text>
        <r>
          <rPr>
            <sz val="8"/>
            <color indexed="81"/>
            <rFont val="Tahoma"/>
            <family val="2"/>
          </rPr>
          <t>When selecting a
Corner or Bay 
Window Type, 
the 
CMB Corner WS 
or 
CMB Bay WS 
must be completed.</t>
        </r>
      </text>
    </comment>
    <comment ref="L9" authorId="0" shapeId="0" xr:uid="{00000000-0006-0000-0700-000020000000}">
      <text>
        <r>
          <rPr>
            <sz val="8"/>
            <color indexed="81"/>
            <rFont val="Tahoma"/>
            <family val="2"/>
          </rPr>
          <t>ACT 
Actual Measurements
You have made the allowances.
NAM
No Allowances Made 
The factory will make the deductions.</t>
        </r>
      </text>
    </comment>
    <comment ref="N9" authorId="0" shapeId="0" xr:uid="{00000000-0006-0000-0700-000021000000}">
      <text>
        <r>
          <rPr>
            <sz val="8"/>
            <color indexed="81"/>
            <rFont val="Tahoma"/>
            <family val="2"/>
          </rPr>
          <t>Track Colour options are;
Clear Anodised
Black
White
White Birch
Please note; 
All Blinds are supplied 
with a Clear Anodised Wand.</t>
        </r>
      </text>
    </comment>
    <comment ref="O9" authorId="0" shapeId="0" xr:uid="{00000000-0006-0000-0700-000022000000}">
      <text>
        <r>
          <rPr>
            <sz val="8"/>
            <color indexed="81"/>
            <rFont val="Tahoma"/>
            <family val="2"/>
          </rPr>
          <t xml:space="preserve">
Finish options;
Sewn In Pocket
Bottom Rail</t>
        </r>
      </text>
    </comment>
    <comment ref="P9" authorId="0" shapeId="0" xr:uid="{00000000-0006-0000-0700-000023000000}">
      <text>
        <r>
          <rPr>
            <sz val="8"/>
            <color indexed="81"/>
            <rFont val="Tahoma"/>
            <family val="2"/>
          </rPr>
          <t xml:space="preserve">
Bottom Rail Colour options;
Bright Silver
Clear Anodised
Metallic Black
Mocha
White
White Birch</t>
        </r>
      </text>
    </comment>
    <comment ref="Q9" authorId="0" shapeId="0" xr:uid="{00000000-0006-0000-0700-000024000000}">
      <text>
        <r>
          <rPr>
            <sz val="8"/>
            <color indexed="81"/>
            <rFont val="Tahoma"/>
            <family val="2"/>
          </rPr>
          <t>When
 Standard or Common 
is selected the 
Pelmet Colour 
must be entered.</t>
        </r>
      </text>
    </comment>
    <comment ref="D10" authorId="0" shapeId="0" xr:uid="{00000000-0006-0000-0700-000025000000}">
      <text>
        <r>
          <rPr>
            <sz val="8"/>
            <color indexed="81"/>
            <rFont val="Tahoma"/>
            <family val="2"/>
          </rPr>
          <t>Fabric options are;
Amalfi
Como (Blockout)
Como (Translucent)
Florence
London
Maui
Milan
Pompeii
Rome (Blockout)
Rome (Translucent)
Sunscreen</t>
        </r>
      </text>
    </comment>
    <comment ref="E10" authorId="0" shapeId="0" xr:uid="{00000000-0006-0000-0700-00002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0" authorId="0" shapeId="0" xr:uid="{00000000-0006-0000-0700-00002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0" authorId="0" shapeId="0" xr:uid="{00000000-0006-0000-0700-000028000000}">
      <text>
        <r>
          <rPr>
            <sz val="8"/>
            <color indexed="81"/>
            <rFont val="Tahoma"/>
            <family val="2"/>
          </rPr>
          <t xml:space="preserve">Minimum Height/Drop is 500mm.
Maximum Height/Drop is 3000mm. </t>
        </r>
      </text>
    </comment>
    <comment ref="H10" authorId="0" shapeId="0" xr:uid="{00000000-0006-0000-0700-000029000000}">
      <text>
        <r>
          <rPr>
            <sz val="8"/>
            <color indexed="81"/>
            <rFont val="Tahoma"/>
            <family val="2"/>
          </rPr>
          <t xml:space="preserve">
Panel Quantities 
options;
2
3
4
5
6
7
9
Please note; 
Minimum Panel Width is 400mm.
Maximum Panel Width is 1000mm.</t>
        </r>
      </text>
    </comment>
    <comment ref="I10" authorId="0" shapeId="0" xr:uid="{00000000-0006-0000-0700-00002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0" authorId="0" shapeId="0" xr:uid="{00000000-0006-0000-0700-00002B000000}">
      <text>
        <r>
          <rPr>
            <sz val="8"/>
            <color indexed="81"/>
            <rFont val="Tahoma"/>
            <family val="2"/>
          </rPr>
          <t>When selecting a
Corner or Bay 
Window Type, 
the 
CMB Corner WS 
or 
CMB Bay WS 
must be completed.</t>
        </r>
      </text>
    </comment>
    <comment ref="L10" authorId="0" shapeId="0" xr:uid="{00000000-0006-0000-0700-00002C000000}">
      <text>
        <r>
          <rPr>
            <sz val="8"/>
            <color indexed="81"/>
            <rFont val="Tahoma"/>
            <family val="2"/>
          </rPr>
          <t>ACT 
Actual Measurements
You have made the allowances.
NAM
No Allowances Made 
The factory will make the deductions.</t>
        </r>
      </text>
    </comment>
    <comment ref="N10" authorId="0" shapeId="0" xr:uid="{00000000-0006-0000-0700-00002D000000}">
      <text>
        <r>
          <rPr>
            <sz val="8"/>
            <color indexed="81"/>
            <rFont val="Tahoma"/>
            <family val="2"/>
          </rPr>
          <t>Track Colour options are;
Clear Anodised
Black
White
White Birch
Please note; 
All Blinds are supplied 
with a Clear Anodised Wand.</t>
        </r>
      </text>
    </comment>
    <comment ref="O10" authorId="0" shapeId="0" xr:uid="{00000000-0006-0000-0700-00002E000000}">
      <text>
        <r>
          <rPr>
            <sz val="8"/>
            <color indexed="81"/>
            <rFont val="Tahoma"/>
            <family val="2"/>
          </rPr>
          <t xml:space="preserve">
Finish options;
Sewn In Pocket
Bottom Rail</t>
        </r>
      </text>
    </comment>
    <comment ref="P10" authorId="0" shapeId="0" xr:uid="{00000000-0006-0000-0700-00002F000000}">
      <text>
        <r>
          <rPr>
            <sz val="8"/>
            <color indexed="81"/>
            <rFont val="Tahoma"/>
            <family val="2"/>
          </rPr>
          <t xml:space="preserve">
Bottom Rail Colour options;
Bright Silver
Clear Anodised
Metallic Black
Mocha
White
White Birch</t>
        </r>
      </text>
    </comment>
    <comment ref="Q10" authorId="0" shapeId="0" xr:uid="{00000000-0006-0000-0700-000030000000}">
      <text>
        <r>
          <rPr>
            <sz val="8"/>
            <color indexed="81"/>
            <rFont val="Tahoma"/>
            <family val="2"/>
          </rPr>
          <t>When
 Standard or Common 
is selected the 
Pelmet Colour 
must be entered.</t>
        </r>
      </text>
    </comment>
    <comment ref="D11" authorId="0" shapeId="0" xr:uid="{00000000-0006-0000-0700-000031000000}">
      <text>
        <r>
          <rPr>
            <sz val="8"/>
            <color indexed="81"/>
            <rFont val="Tahoma"/>
            <family val="2"/>
          </rPr>
          <t>Fabric options are;
Amalfi
Como (Blockout)
Como (Translucent)
Florence
London
Maui
Milan
Pompeii
Rome (Blockout)
Rome (Translucent)
Sunscreen</t>
        </r>
      </text>
    </comment>
    <comment ref="E11" authorId="0" shapeId="0" xr:uid="{00000000-0006-0000-0700-00003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1" authorId="0" shapeId="0" xr:uid="{00000000-0006-0000-0700-00003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1" authorId="0" shapeId="0" xr:uid="{00000000-0006-0000-0700-000034000000}">
      <text>
        <r>
          <rPr>
            <sz val="8"/>
            <color indexed="81"/>
            <rFont val="Tahoma"/>
            <family val="2"/>
          </rPr>
          <t xml:space="preserve">Minimum Height/Drop is 500mm.
Maximum Height/Drop is 3000mm. </t>
        </r>
      </text>
    </comment>
    <comment ref="H11" authorId="0" shapeId="0" xr:uid="{00000000-0006-0000-0700-000035000000}">
      <text>
        <r>
          <rPr>
            <sz val="8"/>
            <color indexed="81"/>
            <rFont val="Tahoma"/>
            <family val="2"/>
          </rPr>
          <t xml:space="preserve">
Panel Quantities 
options;
2
3
4
5
6
7
9
Please note; 
Minimum Panel Width is 400mm.
Maximum Panel Width is 1000mm.</t>
        </r>
      </text>
    </comment>
    <comment ref="I11" authorId="0" shapeId="0" xr:uid="{00000000-0006-0000-0700-00003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1" authorId="0" shapeId="0" xr:uid="{00000000-0006-0000-0700-000037000000}">
      <text>
        <r>
          <rPr>
            <sz val="8"/>
            <color indexed="81"/>
            <rFont val="Tahoma"/>
            <family val="2"/>
          </rPr>
          <t>When selecting a
Corner or Bay 
Window Type, 
the 
CMB Corner WS 
or 
CMB Bay WS 
must be completed.</t>
        </r>
      </text>
    </comment>
    <comment ref="L11" authorId="0" shapeId="0" xr:uid="{00000000-0006-0000-0700-000038000000}">
      <text>
        <r>
          <rPr>
            <sz val="8"/>
            <color indexed="81"/>
            <rFont val="Tahoma"/>
            <family val="2"/>
          </rPr>
          <t>ACT 
Actual Measurements
You have made the allowances.
NAM
No Allowances Made 
The factory will make the deductions.</t>
        </r>
      </text>
    </comment>
    <comment ref="N11" authorId="0" shapeId="0" xr:uid="{00000000-0006-0000-0700-000039000000}">
      <text>
        <r>
          <rPr>
            <sz val="8"/>
            <color indexed="81"/>
            <rFont val="Tahoma"/>
            <family val="2"/>
          </rPr>
          <t>Track Colour options are;
Clear Anodised
Black
White
White Birch
Please note; 
All Blinds are supplied 
with a Clear Anodised Wand.</t>
        </r>
      </text>
    </comment>
    <comment ref="O11" authorId="0" shapeId="0" xr:uid="{00000000-0006-0000-0700-00003A000000}">
      <text>
        <r>
          <rPr>
            <sz val="8"/>
            <color indexed="81"/>
            <rFont val="Tahoma"/>
            <family val="2"/>
          </rPr>
          <t xml:space="preserve">
Finish options;
Sewn In Pocket
Bottom Rail</t>
        </r>
      </text>
    </comment>
    <comment ref="P11" authorId="0" shapeId="0" xr:uid="{00000000-0006-0000-0700-00003B000000}">
      <text>
        <r>
          <rPr>
            <sz val="8"/>
            <color indexed="81"/>
            <rFont val="Tahoma"/>
            <family val="2"/>
          </rPr>
          <t xml:space="preserve">
Bottom Rail Colour options;
Bright Silver
Clear Anodised
Metallic Black
Mocha
White
White Birch</t>
        </r>
      </text>
    </comment>
    <comment ref="Q11" authorId="0" shapeId="0" xr:uid="{00000000-0006-0000-0700-00003C000000}">
      <text>
        <r>
          <rPr>
            <sz val="8"/>
            <color indexed="81"/>
            <rFont val="Tahoma"/>
            <family val="2"/>
          </rPr>
          <t>When
 Standard or Common 
is selected the 
Pelmet Colour 
must be entered.</t>
        </r>
      </text>
    </comment>
    <comment ref="D12" authorId="0" shapeId="0" xr:uid="{00000000-0006-0000-0700-00003D000000}">
      <text>
        <r>
          <rPr>
            <sz val="8"/>
            <color indexed="81"/>
            <rFont val="Tahoma"/>
            <family val="2"/>
          </rPr>
          <t>Fabric options are;
Amalfi
Como (Blockout)
Como (Translucent)
Florence
London
Maui
Milan
Pompeii
Rome (Blockout)
Rome (Translucent)
Sunscreen</t>
        </r>
      </text>
    </comment>
    <comment ref="E12" authorId="0" shapeId="0" xr:uid="{00000000-0006-0000-0700-00003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2" authorId="0" shapeId="0" xr:uid="{00000000-0006-0000-0700-00003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2" authorId="0" shapeId="0" xr:uid="{00000000-0006-0000-0700-000040000000}">
      <text>
        <r>
          <rPr>
            <sz val="8"/>
            <color indexed="81"/>
            <rFont val="Tahoma"/>
            <family val="2"/>
          </rPr>
          <t xml:space="preserve">Minimum Height/Drop is 500mm.
Maximum Height/Drop is 3000mm. </t>
        </r>
      </text>
    </comment>
    <comment ref="H12" authorId="0" shapeId="0" xr:uid="{00000000-0006-0000-0700-000041000000}">
      <text>
        <r>
          <rPr>
            <sz val="8"/>
            <color indexed="81"/>
            <rFont val="Tahoma"/>
            <family val="2"/>
          </rPr>
          <t xml:space="preserve">
Panel Quantities 
options;
2
3
4
5
6
7
9
Please note; 
Minimum Panel Width is 400mm.
Maximum Panel Width is 1000mm.</t>
        </r>
      </text>
    </comment>
    <comment ref="I12" authorId="0" shapeId="0" xr:uid="{00000000-0006-0000-0700-00004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2" authorId="0" shapeId="0" xr:uid="{00000000-0006-0000-0700-000043000000}">
      <text>
        <r>
          <rPr>
            <sz val="8"/>
            <color indexed="81"/>
            <rFont val="Tahoma"/>
            <family val="2"/>
          </rPr>
          <t>When selecting a
Corner or Bay 
Window Type, 
the 
CMB Corner WS 
or 
CMB Bay WS 
must be completed.</t>
        </r>
      </text>
    </comment>
    <comment ref="L12" authorId="0" shapeId="0" xr:uid="{00000000-0006-0000-0700-000044000000}">
      <text>
        <r>
          <rPr>
            <sz val="8"/>
            <color indexed="81"/>
            <rFont val="Tahoma"/>
            <family val="2"/>
          </rPr>
          <t>ACT 
Actual Measurements
You have made the allowances.
NAM
No Allowances Made 
The factory will make the deductions.</t>
        </r>
      </text>
    </comment>
    <comment ref="N12" authorId="0" shapeId="0" xr:uid="{00000000-0006-0000-0700-000045000000}">
      <text>
        <r>
          <rPr>
            <sz val="8"/>
            <color indexed="81"/>
            <rFont val="Tahoma"/>
            <family val="2"/>
          </rPr>
          <t>Track Colour options are;
Clear Anodised
Black
White
White Birch
Please note; 
All Blinds are supplied 
with a Clear Anodised Wand.</t>
        </r>
      </text>
    </comment>
    <comment ref="O12" authorId="0" shapeId="0" xr:uid="{00000000-0006-0000-0700-000046000000}">
      <text>
        <r>
          <rPr>
            <sz val="8"/>
            <color indexed="81"/>
            <rFont val="Tahoma"/>
            <family val="2"/>
          </rPr>
          <t xml:space="preserve">
Finish options;
Sewn In Pocket
Bottom Rail</t>
        </r>
      </text>
    </comment>
    <comment ref="P12" authorId="0" shapeId="0" xr:uid="{00000000-0006-0000-0700-000047000000}">
      <text>
        <r>
          <rPr>
            <sz val="8"/>
            <color indexed="81"/>
            <rFont val="Tahoma"/>
            <family val="2"/>
          </rPr>
          <t xml:space="preserve">
Bottom Rail Colour options;
Bright Silver
Clear Anodised
Metallic Black
Mocha
White
White Birch</t>
        </r>
      </text>
    </comment>
    <comment ref="Q12" authorId="0" shapeId="0" xr:uid="{00000000-0006-0000-0700-000048000000}">
      <text>
        <r>
          <rPr>
            <sz val="8"/>
            <color indexed="81"/>
            <rFont val="Tahoma"/>
            <family val="2"/>
          </rPr>
          <t>When
 Standard or Common 
is selected the 
Pelmet Colour 
must be entered.</t>
        </r>
      </text>
    </comment>
    <comment ref="D13" authorId="0" shapeId="0" xr:uid="{00000000-0006-0000-0700-000049000000}">
      <text>
        <r>
          <rPr>
            <sz val="8"/>
            <color indexed="81"/>
            <rFont val="Tahoma"/>
            <family val="2"/>
          </rPr>
          <t>Fabric options are;
Amalfi
Como (Blockout)
Como (Translucent)
Florence
London
Maui
Milan
Pompeii
Rome (Blockout)
Rome (Translucent)
Sunscreen</t>
        </r>
      </text>
    </comment>
    <comment ref="E13" authorId="0" shapeId="0" xr:uid="{00000000-0006-0000-0700-00004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3" authorId="0" shapeId="0" xr:uid="{00000000-0006-0000-0700-00004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3" authorId="0" shapeId="0" xr:uid="{00000000-0006-0000-0700-00004C000000}">
      <text>
        <r>
          <rPr>
            <sz val="8"/>
            <color indexed="81"/>
            <rFont val="Tahoma"/>
            <family val="2"/>
          </rPr>
          <t xml:space="preserve">Minimum Height/Drop is 500mm.
Maximum Height/Drop is 3000mm. </t>
        </r>
      </text>
    </comment>
    <comment ref="H13" authorId="0" shapeId="0" xr:uid="{00000000-0006-0000-0700-00004D000000}">
      <text>
        <r>
          <rPr>
            <sz val="8"/>
            <color indexed="81"/>
            <rFont val="Tahoma"/>
            <family val="2"/>
          </rPr>
          <t xml:space="preserve">
Panel Quantities 
options;
2
3
4
5
6
7
9
Please note; 
Minimum Panel Width is 400mm.
Maximum Panel Width is 1000mm.</t>
        </r>
      </text>
    </comment>
    <comment ref="I13" authorId="0" shapeId="0" xr:uid="{00000000-0006-0000-0700-00004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3" authorId="0" shapeId="0" xr:uid="{00000000-0006-0000-0700-00004F000000}">
      <text>
        <r>
          <rPr>
            <sz val="8"/>
            <color indexed="81"/>
            <rFont val="Tahoma"/>
            <family val="2"/>
          </rPr>
          <t>When selecting a
Corner or Bay 
Window Type, 
the 
CMB Corner WS 
or 
CMB Bay WS 
must be completed.</t>
        </r>
      </text>
    </comment>
    <comment ref="L13" authorId="0" shapeId="0" xr:uid="{00000000-0006-0000-0700-000050000000}">
      <text>
        <r>
          <rPr>
            <sz val="8"/>
            <color indexed="81"/>
            <rFont val="Tahoma"/>
            <family val="2"/>
          </rPr>
          <t>ACT 
Actual Measurements
You have made the allowances.
NAM
No Allowances Made 
The factory will make the deductions.</t>
        </r>
      </text>
    </comment>
    <comment ref="N13" authorId="0" shapeId="0" xr:uid="{00000000-0006-0000-0700-000051000000}">
      <text>
        <r>
          <rPr>
            <sz val="8"/>
            <color indexed="81"/>
            <rFont val="Tahoma"/>
            <family val="2"/>
          </rPr>
          <t>Track Colour options are;
Clear Anodised
Black
White
White Birch
Please note; 
All Blinds are supplied 
with a Clear Anodised Wand.</t>
        </r>
      </text>
    </comment>
    <comment ref="O13" authorId="0" shapeId="0" xr:uid="{00000000-0006-0000-0700-000052000000}">
      <text>
        <r>
          <rPr>
            <sz val="8"/>
            <color indexed="81"/>
            <rFont val="Tahoma"/>
            <family val="2"/>
          </rPr>
          <t xml:space="preserve">
Finish options;
Sewn In Pocket
Bottom Rail</t>
        </r>
      </text>
    </comment>
    <comment ref="P13" authorId="0" shapeId="0" xr:uid="{00000000-0006-0000-0700-000053000000}">
      <text>
        <r>
          <rPr>
            <sz val="8"/>
            <color indexed="81"/>
            <rFont val="Tahoma"/>
            <family val="2"/>
          </rPr>
          <t xml:space="preserve">
Bottom Rail Colour options;
Bright Silver
Clear Anodised
Metallic Black
Mocha
White
White Birch</t>
        </r>
      </text>
    </comment>
    <comment ref="Q13" authorId="0" shapeId="0" xr:uid="{00000000-0006-0000-0700-000054000000}">
      <text>
        <r>
          <rPr>
            <sz val="8"/>
            <color indexed="81"/>
            <rFont val="Tahoma"/>
            <family val="2"/>
          </rPr>
          <t>When
 Standard or Common 
is selected the 
Pelmet Colour 
must be entered.</t>
        </r>
      </text>
    </comment>
    <comment ref="D14" authorId="0" shapeId="0" xr:uid="{00000000-0006-0000-0700-000055000000}">
      <text>
        <r>
          <rPr>
            <sz val="8"/>
            <color indexed="81"/>
            <rFont val="Tahoma"/>
            <family val="2"/>
          </rPr>
          <t>Fabric options are;
Amalfi
Como (Blockout)
Como (Translucent)
Florence
London
Maui
Milan
Pompeii
Rome (Blockout)
Rome (Translucent)
Sunscreen</t>
        </r>
      </text>
    </comment>
    <comment ref="E14" authorId="0" shapeId="0" xr:uid="{00000000-0006-0000-0700-00005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4" authorId="0" shapeId="0" xr:uid="{00000000-0006-0000-0700-00005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4" authorId="0" shapeId="0" xr:uid="{00000000-0006-0000-0700-000058000000}">
      <text>
        <r>
          <rPr>
            <sz val="8"/>
            <color indexed="81"/>
            <rFont val="Tahoma"/>
            <family val="2"/>
          </rPr>
          <t xml:space="preserve">Minimum Height/Drop is 500mm.
Maximum Height/Drop is 3000mm. </t>
        </r>
      </text>
    </comment>
    <comment ref="H14" authorId="0" shapeId="0" xr:uid="{00000000-0006-0000-0700-000059000000}">
      <text>
        <r>
          <rPr>
            <sz val="8"/>
            <color indexed="81"/>
            <rFont val="Tahoma"/>
            <family val="2"/>
          </rPr>
          <t xml:space="preserve">
Panel Quantities 
options;
2
3
4
5
6
7
9
Please note; 
Minimum Panel Width is 400mm.
Maximum Panel Width is 1000mm.</t>
        </r>
      </text>
    </comment>
    <comment ref="I14" authorId="0" shapeId="0" xr:uid="{00000000-0006-0000-0700-00005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4" authorId="0" shapeId="0" xr:uid="{00000000-0006-0000-0700-00005B000000}">
      <text>
        <r>
          <rPr>
            <sz val="8"/>
            <color indexed="81"/>
            <rFont val="Tahoma"/>
            <family val="2"/>
          </rPr>
          <t>When selecting a
Corner or Bay 
Window Type, 
the 
CMB Corner WS 
or 
CMB Bay WS 
must be completed.</t>
        </r>
      </text>
    </comment>
    <comment ref="L14" authorId="0" shapeId="0" xr:uid="{00000000-0006-0000-0700-00005C000000}">
      <text>
        <r>
          <rPr>
            <sz val="8"/>
            <color indexed="81"/>
            <rFont val="Tahoma"/>
            <family val="2"/>
          </rPr>
          <t>ACT 
Actual Measurements
You have made the allowances.
NAM
No Allowances Made 
The factory will make the deductions.</t>
        </r>
      </text>
    </comment>
    <comment ref="N14" authorId="0" shapeId="0" xr:uid="{00000000-0006-0000-0700-00005D000000}">
      <text>
        <r>
          <rPr>
            <sz val="8"/>
            <color indexed="81"/>
            <rFont val="Tahoma"/>
            <family val="2"/>
          </rPr>
          <t>Track Colour options are;
Clear Anodised
Black
White
White Birch
Please note; 
All Blinds are supplied 
with a Clear Anodised Wand.</t>
        </r>
      </text>
    </comment>
    <comment ref="O14" authorId="0" shapeId="0" xr:uid="{00000000-0006-0000-0700-00005E000000}">
      <text>
        <r>
          <rPr>
            <sz val="8"/>
            <color indexed="81"/>
            <rFont val="Tahoma"/>
            <family val="2"/>
          </rPr>
          <t xml:space="preserve">
Finish options;
Sewn In Pocket
Bottom Rail</t>
        </r>
      </text>
    </comment>
    <comment ref="P14" authorId="0" shapeId="0" xr:uid="{00000000-0006-0000-0700-00005F000000}">
      <text>
        <r>
          <rPr>
            <sz val="8"/>
            <color indexed="81"/>
            <rFont val="Tahoma"/>
            <family val="2"/>
          </rPr>
          <t xml:space="preserve">
Bottom Rail Colour options;
Bright Silver
Clear Anodised
Metallic Black
Mocha
White
White Birch</t>
        </r>
      </text>
    </comment>
    <comment ref="Q14" authorId="0" shapeId="0" xr:uid="{00000000-0006-0000-0700-000060000000}">
      <text>
        <r>
          <rPr>
            <sz val="8"/>
            <color indexed="81"/>
            <rFont val="Tahoma"/>
            <family val="2"/>
          </rPr>
          <t>When
 Standard or Common 
is selected the 
Pelmet Colour 
must be entered.</t>
        </r>
      </text>
    </comment>
    <comment ref="D15" authorId="0" shapeId="0" xr:uid="{00000000-0006-0000-0700-000061000000}">
      <text>
        <r>
          <rPr>
            <sz val="8"/>
            <color indexed="81"/>
            <rFont val="Tahoma"/>
            <family val="2"/>
          </rPr>
          <t>Fabric options are;
Amalfi
Como (Blockout)
Como (Translucent)
Florence
London
Maui
Milan
Pompeii
Rome (Blockout)
Rome (Translucent)
Sunscreen</t>
        </r>
      </text>
    </comment>
    <comment ref="E15" authorId="0" shapeId="0" xr:uid="{00000000-0006-0000-0700-00006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5" authorId="0" shapeId="0" xr:uid="{00000000-0006-0000-0700-00006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5" authorId="0" shapeId="0" xr:uid="{00000000-0006-0000-0700-000064000000}">
      <text>
        <r>
          <rPr>
            <sz val="8"/>
            <color indexed="81"/>
            <rFont val="Tahoma"/>
            <family val="2"/>
          </rPr>
          <t xml:space="preserve">Minimum Height/Drop is 500mm.
Maximum Height/Drop is 3000mm. </t>
        </r>
      </text>
    </comment>
    <comment ref="H15" authorId="0" shapeId="0" xr:uid="{00000000-0006-0000-0700-000065000000}">
      <text>
        <r>
          <rPr>
            <sz val="8"/>
            <color indexed="81"/>
            <rFont val="Tahoma"/>
            <family val="2"/>
          </rPr>
          <t xml:space="preserve">
Panel Quantities 
options;
2
3
4
5
6
7
9
Please note; 
Minimum Panel Width is 400mm.
Maximum Panel Width is 1000mm.</t>
        </r>
      </text>
    </comment>
    <comment ref="I15" authorId="0" shapeId="0" xr:uid="{00000000-0006-0000-0700-00006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5" authorId="0" shapeId="0" xr:uid="{00000000-0006-0000-0700-000067000000}">
      <text>
        <r>
          <rPr>
            <sz val="8"/>
            <color indexed="81"/>
            <rFont val="Tahoma"/>
            <family val="2"/>
          </rPr>
          <t>When selecting a
Corner or Bay 
Window Type, 
the 
CMB Corner WS 
or 
CMB Bay WS 
must be completed.</t>
        </r>
      </text>
    </comment>
    <comment ref="L15" authorId="0" shapeId="0" xr:uid="{00000000-0006-0000-0700-000068000000}">
      <text>
        <r>
          <rPr>
            <sz val="8"/>
            <color indexed="81"/>
            <rFont val="Tahoma"/>
            <family val="2"/>
          </rPr>
          <t>ACT 
Actual Measurements
You have made the allowances.
NAM
No Allowances Made 
The factory will make the deductions.</t>
        </r>
      </text>
    </comment>
    <comment ref="N15" authorId="0" shapeId="0" xr:uid="{00000000-0006-0000-0700-000069000000}">
      <text>
        <r>
          <rPr>
            <sz val="8"/>
            <color indexed="81"/>
            <rFont val="Tahoma"/>
            <family val="2"/>
          </rPr>
          <t>Track Colour options are;
Clear Anodised
Black
White
White Birch
Please note; 
All Blinds are supplied 
with a Clear Anodised Wand.</t>
        </r>
      </text>
    </comment>
    <comment ref="O15" authorId="0" shapeId="0" xr:uid="{00000000-0006-0000-0700-00006A000000}">
      <text>
        <r>
          <rPr>
            <sz val="8"/>
            <color indexed="81"/>
            <rFont val="Tahoma"/>
            <family val="2"/>
          </rPr>
          <t xml:space="preserve">
Finish options;
Sewn In Pocket
Bottom Rail</t>
        </r>
      </text>
    </comment>
    <comment ref="P15" authorId="0" shapeId="0" xr:uid="{00000000-0006-0000-0700-00006B000000}">
      <text>
        <r>
          <rPr>
            <sz val="8"/>
            <color indexed="81"/>
            <rFont val="Tahoma"/>
            <family val="2"/>
          </rPr>
          <t xml:space="preserve">
Bottom Rail Colour options;
Bright Silver
Clear Anodised
Metallic Black
Mocha
White
White Birch</t>
        </r>
      </text>
    </comment>
    <comment ref="Q15" authorId="0" shapeId="0" xr:uid="{00000000-0006-0000-0700-00006C000000}">
      <text>
        <r>
          <rPr>
            <sz val="8"/>
            <color indexed="81"/>
            <rFont val="Tahoma"/>
            <family val="2"/>
          </rPr>
          <t>When
 Standard or Common 
is selected the 
Pelmet Colour 
must be entered.</t>
        </r>
      </text>
    </comment>
    <comment ref="D16" authorId="0" shapeId="0" xr:uid="{00000000-0006-0000-0700-00006D000000}">
      <text>
        <r>
          <rPr>
            <sz val="8"/>
            <color indexed="81"/>
            <rFont val="Tahoma"/>
            <family val="2"/>
          </rPr>
          <t>Fabric options are;
Amalfi
Como (Blockout)
Como (Translucent)
Florence
London
Maui
Milan
Pompeii
Rome (Blockout)
Rome (Translucent)
Sunscreen</t>
        </r>
      </text>
    </comment>
    <comment ref="E16" authorId="0" shapeId="0" xr:uid="{00000000-0006-0000-0700-00006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6" authorId="0" shapeId="0" xr:uid="{00000000-0006-0000-0700-00006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6" authorId="0" shapeId="0" xr:uid="{00000000-0006-0000-0700-000070000000}">
      <text>
        <r>
          <rPr>
            <sz val="8"/>
            <color indexed="81"/>
            <rFont val="Tahoma"/>
            <family val="2"/>
          </rPr>
          <t xml:space="preserve">Minimum Height/Drop is 500mm.
Maximum Height/Drop is 3000mm. </t>
        </r>
      </text>
    </comment>
    <comment ref="H16" authorId="0" shapeId="0" xr:uid="{00000000-0006-0000-0700-000071000000}">
      <text>
        <r>
          <rPr>
            <sz val="8"/>
            <color indexed="81"/>
            <rFont val="Tahoma"/>
            <family val="2"/>
          </rPr>
          <t xml:space="preserve">
Panel Quantities 
options;
2
3
4
5
6
7
9
Please note; 
Minimum Panel Width is 400mm.
Maximum Panel Width is 1000mm.</t>
        </r>
      </text>
    </comment>
    <comment ref="I16" authorId="0" shapeId="0" xr:uid="{00000000-0006-0000-0700-00007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6" authorId="0" shapeId="0" xr:uid="{00000000-0006-0000-0700-000073000000}">
      <text>
        <r>
          <rPr>
            <sz val="8"/>
            <color indexed="81"/>
            <rFont val="Tahoma"/>
            <family val="2"/>
          </rPr>
          <t>When selecting a
Corner or Bay 
Window Type, 
the 
CMB Corner WS 
or 
CMB Bay WS 
must be completed.</t>
        </r>
      </text>
    </comment>
    <comment ref="L16" authorId="0" shapeId="0" xr:uid="{00000000-0006-0000-0700-000074000000}">
      <text>
        <r>
          <rPr>
            <sz val="8"/>
            <color indexed="81"/>
            <rFont val="Tahoma"/>
            <family val="2"/>
          </rPr>
          <t>ACT 
Actual Measurements
You have made the allowances.
NAM
No Allowances Made 
The factory will make the deductions.</t>
        </r>
      </text>
    </comment>
    <comment ref="N16" authorId="0" shapeId="0" xr:uid="{00000000-0006-0000-0700-000075000000}">
      <text>
        <r>
          <rPr>
            <sz val="8"/>
            <color indexed="81"/>
            <rFont val="Tahoma"/>
            <family val="2"/>
          </rPr>
          <t>Track Colour options are;
Clear Anodised
Black
White
White Birch
Please note; 
All Blinds are supplied 
with a Clear Anodised Wand.</t>
        </r>
      </text>
    </comment>
    <comment ref="O16" authorId="0" shapeId="0" xr:uid="{00000000-0006-0000-0700-000076000000}">
      <text>
        <r>
          <rPr>
            <sz val="8"/>
            <color indexed="81"/>
            <rFont val="Tahoma"/>
            <family val="2"/>
          </rPr>
          <t xml:space="preserve">
Finish options;
Sewn In Pocket
Bottom Rail</t>
        </r>
      </text>
    </comment>
    <comment ref="P16" authorId="0" shapeId="0" xr:uid="{00000000-0006-0000-0700-000077000000}">
      <text>
        <r>
          <rPr>
            <sz val="8"/>
            <color indexed="81"/>
            <rFont val="Tahoma"/>
            <family val="2"/>
          </rPr>
          <t xml:space="preserve">
Bottom Rail Colour options;
Bright Silver
Clear Anodised
Metallic Black
Mocha
White
White Birch</t>
        </r>
      </text>
    </comment>
    <comment ref="Q16" authorId="0" shapeId="0" xr:uid="{00000000-0006-0000-0700-000078000000}">
      <text>
        <r>
          <rPr>
            <sz val="8"/>
            <color indexed="81"/>
            <rFont val="Tahoma"/>
            <family val="2"/>
          </rPr>
          <t>When
 Standard or Common 
is selected the 
Pelmet Colour 
must be entered.</t>
        </r>
      </text>
    </comment>
    <comment ref="D17" authorId="0" shapeId="0" xr:uid="{00000000-0006-0000-0700-000079000000}">
      <text>
        <r>
          <rPr>
            <sz val="8"/>
            <color indexed="81"/>
            <rFont val="Tahoma"/>
            <family val="2"/>
          </rPr>
          <t>Fabric options are;
Amalfi
Como (Blockout)
Como (Translucent)
Florence
London
Maui
Milan
Pompeii
Rome (Blockout)
Rome (Translucent)
Sunscreen</t>
        </r>
      </text>
    </comment>
    <comment ref="E17" authorId="0" shapeId="0" xr:uid="{00000000-0006-0000-0700-00007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7" authorId="0" shapeId="0" xr:uid="{00000000-0006-0000-0700-00007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7" authorId="0" shapeId="0" xr:uid="{00000000-0006-0000-0700-00007C000000}">
      <text>
        <r>
          <rPr>
            <sz val="8"/>
            <color indexed="81"/>
            <rFont val="Tahoma"/>
            <family val="2"/>
          </rPr>
          <t xml:space="preserve">Minimum Height/Drop is 500mm.
Maximum Height/Drop is 3000mm. </t>
        </r>
      </text>
    </comment>
    <comment ref="H17" authorId="0" shapeId="0" xr:uid="{00000000-0006-0000-0700-00007D000000}">
      <text>
        <r>
          <rPr>
            <sz val="8"/>
            <color indexed="81"/>
            <rFont val="Tahoma"/>
            <family val="2"/>
          </rPr>
          <t xml:space="preserve">
Panel Quantities 
options;
2
3
4
5
6
7
9
Please note; 
Minimum Panel Width is 400mm.
Maximum Panel Width is 1000mm.</t>
        </r>
      </text>
    </comment>
    <comment ref="I17" authorId="0" shapeId="0" xr:uid="{00000000-0006-0000-0700-00007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7" authorId="0" shapeId="0" xr:uid="{00000000-0006-0000-0700-00007F000000}">
      <text>
        <r>
          <rPr>
            <sz val="8"/>
            <color indexed="81"/>
            <rFont val="Tahoma"/>
            <family val="2"/>
          </rPr>
          <t>When selecting a
Corner or Bay 
Window Type, 
the 
CMB Corner WS 
or 
CMB Bay WS 
must be completed.</t>
        </r>
      </text>
    </comment>
    <comment ref="L17" authorId="0" shapeId="0" xr:uid="{00000000-0006-0000-0700-000080000000}">
      <text>
        <r>
          <rPr>
            <sz val="8"/>
            <color indexed="81"/>
            <rFont val="Tahoma"/>
            <family val="2"/>
          </rPr>
          <t>ACT 
Actual Measurements
You have made the allowances.
NAM
No Allowances Made 
The factory will make the deductions.</t>
        </r>
      </text>
    </comment>
    <comment ref="N17" authorId="0" shapeId="0" xr:uid="{00000000-0006-0000-0700-000081000000}">
      <text>
        <r>
          <rPr>
            <sz val="8"/>
            <color indexed="81"/>
            <rFont val="Tahoma"/>
            <family val="2"/>
          </rPr>
          <t>Track Colour options are;
Clear Anodised
Black
White
White Birch
Please note; 
All Blinds are supplied 
with a Clear Anodised Wand.</t>
        </r>
      </text>
    </comment>
    <comment ref="O17" authorId="0" shapeId="0" xr:uid="{00000000-0006-0000-0700-000082000000}">
      <text>
        <r>
          <rPr>
            <sz val="8"/>
            <color indexed="81"/>
            <rFont val="Tahoma"/>
            <family val="2"/>
          </rPr>
          <t xml:space="preserve">
Finish options;
Sewn In Pocket
Bottom Rail</t>
        </r>
      </text>
    </comment>
    <comment ref="P17" authorId="0" shapeId="0" xr:uid="{00000000-0006-0000-0700-000083000000}">
      <text>
        <r>
          <rPr>
            <sz val="8"/>
            <color indexed="81"/>
            <rFont val="Tahoma"/>
            <family val="2"/>
          </rPr>
          <t xml:space="preserve">
Bottom Rail Colour options;
Bright Silver
Clear Anodised
Metallic Black
Mocha
White
White Birch</t>
        </r>
      </text>
    </comment>
    <comment ref="Q17" authorId="0" shapeId="0" xr:uid="{00000000-0006-0000-0700-000084000000}">
      <text>
        <r>
          <rPr>
            <sz val="8"/>
            <color indexed="81"/>
            <rFont val="Tahoma"/>
            <family val="2"/>
          </rPr>
          <t>When
 Standard or Common 
is selected the 
Pelmet Colour 
must be entered.</t>
        </r>
      </text>
    </comment>
    <comment ref="D18" authorId="0" shapeId="0" xr:uid="{00000000-0006-0000-0700-000085000000}">
      <text>
        <r>
          <rPr>
            <sz val="8"/>
            <color indexed="81"/>
            <rFont val="Tahoma"/>
            <family val="2"/>
          </rPr>
          <t>Fabric options are;
Amalfi
Como (Blockout)
Como (Translucent)
Florence
London
Maui
Milan
Pompeii
Rome (Blockout)
Rome (Translucent)
Sunscreen</t>
        </r>
      </text>
    </comment>
    <comment ref="E18" authorId="0" shapeId="0" xr:uid="{00000000-0006-0000-0700-00008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8" authorId="0" shapeId="0" xr:uid="{00000000-0006-0000-0700-00008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8" authorId="0" shapeId="0" xr:uid="{00000000-0006-0000-0700-000088000000}">
      <text>
        <r>
          <rPr>
            <sz val="8"/>
            <color indexed="81"/>
            <rFont val="Tahoma"/>
            <family val="2"/>
          </rPr>
          <t xml:space="preserve">Minimum Height/Drop is 500mm.
Maximum Height/Drop is 3000mm. </t>
        </r>
      </text>
    </comment>
    <comment ref="H18" authorId="0" shapeId="0" xr:uid="{00000000-0006-0000-0700-000089000000}">
      <text>
        <r>
          <rPr>
            <sz val="8"/>
            <color indexed="81"/>
            <rFont val="Tahoma"/>
            <family val="2"/>
          </rPr>
          <t xml:space="preserve">
Panel Quantities 
options;
2
3
4
5
6
7
9
Please note; 
Minimum Panel Width is 400mm.
Maximum Panel Width is 1000mm.</t>
        </r>
      </text>
    </comment>
    <comment ref="I18" authorId="0" shapeId="0" xr:uid="{00000000-0006-0000-0700-00008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8" authorId="0" shapeId="0" xr:uid="{00000000-0006-0000-0700-00008B000000}">
      <text>
        <r>
          <rPr>
            <sz val="8"/>
            <color indexed="81"/>
            <rFont val="Tahoma"/>
            <family val="2"/>
          </rPr>
          <t>When selecting a
Corner or Bay 
Window Type, 
the 
CMB Corner WS 
or 
CMB Bay WS 
must be completed.</t>
        </r>
      </text>
    </comment>
    <comment ref="L18" authorId="0" shapeId="0" xr:uid="{00000000-0006-0000-0700-00008C000000}">
      <text>
        <r>
          <rPr>
            <sz val="8"/>
            <color indexed="81"/>
            <rFont val="Tahoma"/>
            <family val="2"/>
          </rPr>
          <t>ACT 
Actual Measurements
You have made the allowances.
NAM
No Allowances Made 
The factory will make the deductions.</t>
        </r>
      </text>
    </comment>
    <comment ref="N18" authorId="0" shapeId="0" xr:uid="{00000000-0006-0000-0700-00008D000000}">
      <text>
        <r>
          <rPr>
            <sz val="8"/>
            <color indexed="81"/>
            <rFont val="Tahoma"/>
            <family val="2"/>
          </rPr>
          <t>Track Colour options are;
Clear Anodised
Black
White
White Birch
Please note; 
All Blinds are supplied 
with a Clear Anodised Wand.</t>
        </r>
      </text>
    </comment>
    <comment ref="O18" authorId="0" shapeId="0" xr:uid="{00000000-0006-0000-0700-00008E000000}">
      <text>
        <r>
          <rPr>
            <sz val="8"/>
            <color indexed="81"/>
            <rFont val="Tahoma"/>
            <family val="2"/>
          </rPr>
          <t xml:space="preserve">
Finish options;
Sewn In Pocket
Bottom Rail</t>
        </r>
      </text>
    </comment>
    <comment ref="P18" authorId="0" shapeId="0" xr:uid="{00000000-0006-0000-0700-00008F000000}">
      <text>
        <r>
          <rPr>
            <sz val="8"/>
            <color indexed="81"/>
            <rFont val="Tahoma"/>
            <family val="2"/>
          </rPr>
          <t xml:space="preserve">
Bottom Rail Colour options;
Bright Silver
Clear Anodised
Metallic Black
Mocha
White
White Birch</t>
        </r>
      </text>
    </comment>
    <comment ref="Q18" authorId="0" shapeId="0" xr:uid="{00000000-0006-0000-0700-000090000000}">
      <text>
        <r>
          <rPr>
            <sz val="8"/>
            <color indexed="81"/>
            <rFont val="Tahoma"/>
            <family val="2"/>
          </rPr>
          <t>When
 Standard or Common 
is selected the 
Pelmet Colour 
must be entered.</t>
        </r>
      </text>
    </comment>
    <comment ref="D19" authorId="0" shapeId="0" xr:uid="{00000000-0006-0000-0700-000091000000}">
      <text>
        <r>
          <rPr>
            <sz val="8"/>
            <color indexed="81"/>
            <rFont val="Tahoma"/>
            <family val="2"/>
          </rPr>
          <t>Fabric options are;
Amalfi
Como (Blockout)
Como (Translucent)
Florence
London
Maui
Milan
Pompeii
Rome (Blockout)
Rome (Translucent)
Sunscreen</t>
        </r>
      </text>
    </comment>
    <comment ref="E19" authorId="0" shapeId="0" xr:uid="{00000000-0006-0000-0700-00009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9" authorId="0" shapeId="0" xr:uid="{00000000-0006-0000-0700-00009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9" authorId="0" shapeId="0" xr:uid="{00000000-0006-0000-0700-000094000000}">
      <text>
        <r>
          <rPr>
            <sz val="8"/>
            <color indexed="81"/>
            <rFont val="Tahoma"/>
            <family val="2"/>
          </rPr>
          <t xml:space="preserve">Minimum Height/Drop is 500mm.
Maximum Height/Drop is 3000mm. </t>
        </r>
      </text>
    </comment>
    <comment ref="H19" authorId="0" shapeId="0" xr:uid="{00000000-0006-0000-0700-000095000000}">
      <text>
        <r>
          <rPr>
            <sz val="8"/>
            <color indexed="81"/>
            <rFont val="Tahoma"/>
            <family val="2"/>
          </rPr>
          <t xml:space="preserve">
Panel Quantities 
options;
2
3
4
5
6
7
9
Please note; 
Minimum Panel Width is 400mm.
Maximum Panel Width is 1000mm.</t>
        </r>
      </text>
    </comment>
    <comment ref="I19" authorId="0" shapeId="0" xr:uid="{00000000-0006-0000-0700-00009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9" authorId="0" shapeId="0" xr:uid="{00000000-0006-0000-0700-000097000000}">
      <text>
        <r>
          <rPr>
            <sz val="8"/>
            <color indexed="81"/>
            <rFont val="Tahoma"/>
            <family val="2"/>
          </rPr>
          <t>When selecting a
Corner or Bay 
Window Type, 
the 
CMB Corner WS 
or 
CMB Bay WS 
must be completed.</t>
        </r>
      </text>
    </comment>
    <comment ref="L19" authorId="0" shapeId="0" xr:uid="{00000000-0006-0000-0700-000098000000}">
      <text>
        <r>
          <rPr>
            <sz val="8"/>
            <color indexed="81"/>
            <rFont val="Tahoma"/>
            <family val="2"/>
          </rPr>
          <t>ACT 
Actual Measurements
You have made the allowances.
NAM
No Allowances Made 
The factory will make the deductions.</t>
        </r>
      </text>
    </comment>
    <comment ref="N19" authorId="0" shapeId="0" xr:uid="{00000000-0006-0000-0700-000099000000}">
      <text>
        <r>
          <rPr>
            <sz val="8"/>
            <color indexed="81"/>
            <rFont val="Tahoma"/>
            <family val="2"/>
          </rPr>
          <t>Track Colour options are;
Clear Anodised
Black
White
White Birch
Please note; 
All Blinds are supplied 
with a Clear Anodised Wand.</t>
        </r>
      </text>
    </comment>
    <comment ref="O19" authorId="0" shapeId="0" xr:uid="{00000000-0006-0000-0700-00009A000000}">
      <text>
        <r>
          <rPr>
            <sz val="8"/>
            <color indexed="81"/>
            <rFont val="Tahoma"/>
            <family val="2"/>
          </rPr>
          <t xml:space="preserve">
Finish options;
Sewn In Pocket
Bottom Rail</t>
        </r>
      </text>
    </comment>
    <comment ref="P19" authorId="0" shapeId="0" xr:uid="{00000000-0006-0000-0700-00009B000000}">
      <text>
        <r>
          <rPr>
            <sz val="8"/>
            <color indexed="81"/>
            <rFont val="Tahoma"/>
            <family val="2"/>
          </rPr>
          <t xml:space="preserve">
Bottom Rail Colour options;
Bright Silver
Clear Anodised
Metallic Black
Mocha
White
White Birch</t>
        </r>
      </text>
    </comment>
    <comment ref="Q19" authorId="0" shapeId="0" xr:uid="{00000000-0006-0000-0700-00009C000000}">
      <text>
        <r>
          <rPr>
            <sz val="8"/>
            <color indexed="81"/>
            <rFont val="Tahoma"/>
            <family val="2"/>
          </rPr>
          <t>When
 Standard or Common 
is selected the 
Pelmet Colour 
must be entered.</t>
        </r>
      </text>
    </comment>
    <comment ref="D20" authorId="0" shapeId="0" xr:uid="{00000000-0006-0000-0700-00009D000000}">
      <text>
        <r>
          <rPr>
            <sz val="8"/>
            <color indexed="81"/>
            <rFont val="Tahoma"/>
            <family val="2"/>
          </rPr>
          <t>Fabric options are;
Amalfi
Como (Blockout)
Como (Translucent)
Florence
London
Maui
Milan
Pompeii
Rome (Blockout)
Rome (Translucent)
Sunscreen</t>
        </r>
      </text>
    </comment>
    <comment ref="E20" authorId="0" shapeId="0" xr:uid="{00000000-0006-0000-0700-00009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0" authorId="0" shapeId="0" xr:uid="{00000000-0006-0000-0700-00009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0" authorId="0" shapeId="0" xr:uid="{00000000-0006-0000-0700-0000A0000000}">
      <text>
        <r>
          <rPr>
            <sz val="8"/>
            <color indexed="81"/>
            <rFont val="Tahoma"/>
            <family val="2"/>
          </rPr>
          <t xml:space="preserve">Minimum Height/Drop is 500mm.
Maximum Height/Drop is 3000mm. </t>
        </r>
      </text>
    </comment>
    <comment ref="H20" authorId="0" shapeId="0" xr:uid="{00000000-0006-0000-0700-0000A1000000}">
      <text>
        <r>
          <rPr>
            <sz val="8"/>
            <color indexed="81"/>
            <rFont val="Tahoma"/>
            <family val="2"/>
          </rPr>
          <t xml:space="preserve">
Panel Quantities 
options;
2
3
4
5
6
7
9
Please note; 
Minimum Panel Width is 400mm.
Maximum Panel Width is 1000mm.</t>
        </r>
      </text>
    </comment>
    <comment ref="I20" authorId="0" shapeId="0" xr:uid="{00000000-0006-0000-0700-0000A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0" authorId="0" shapeId="0" xr:uid="{00000000-0006-0000-0700-0000A3000000}">
      <text>
        <r>
          <rPr>
            <sz val="8"/>
            <color indexed="81"/>
            <rFont val="Tahoma"/>
            <family val="2"/>
          </rPr>
          <t>When selecting a
Corner or Bay 
Window Type, 
the 
CMB Corner WS 
or 
CMB Bay WS 
must be completed.</t>
        </r>
      </text>
    </comment>
    <comment ref="L20" authorId="0" shapeId="0" xr:uid="{00000000-0006-0000-0700-0000A4000000}">
      <text>
        <r>
          <rPr>
            <sz val="8"/>
            <color indexed="81"/>
            <rFont val="Tahoma"/>
            <family val="2"/>
          </rPr>
          <t>ACT 
Actual Measurements
You have made the allowances.
NAM
No Allowances Made 
The factory will make the deductions.</t>
        </r>
      </text>
    </comment>
    <comment ref="N20" authorId="0" shapeId="0" xr:uid="{00000000-0006-0000-0700-0000A5000000}">
      <text>
        <r>
          <rPr>
            <sz val="8"/>
            <color indexed="81"/>
            <rFont val="Tahoma"/>
            <family val="2"/>
          </rPr>
          <t>Track Colour options are;
Clear Anodised
Black
White
White Birch
Please note; 
All Blinds are supplied 
with a Clear Anodised Wand.</t>
        </r>
      </text>
    </comment>
    <comment ref="O20" authorId="0" shapeId="0" xr:uid="{00000000-0006-0000-0700-0000A6000000}">
      <text>
        <r>
          <rPr>
            <sz val="8"/>
            <color indexed="81"/>
            <rFont val="Tahoma"/>
            <family val="2"/>
          </rPr>
          <t xml:space="preserve">
Finish options;
Sewn In Pocket
Bottom Rail</t>
        </r>
      </text>
    </comment>
    <comment ref="P20" authorId="0" shapeId="0" xr:uid="{00000000-0006-0000-0700-0000A7000000}">
      <text>
        <r>
          <rPr>
            <sz val="8"/>
            <color indexed="81"/>
            <rFont val="Tahoma"/>
            <family val="2"/>
          </rPr>
          <t xml:space="preserve">
Bottom Rail Colour options;
Bright Silver
Clear Anodised
Metallic Black
Mocha
White
White Birch</t>
        </r>
      </text>
    </comment>
    <comment ref="Q20" authorId="0" shapeId="0" xr:uid="{00000000-0006-0000-0700-0000A8000000}">
      <text>
        <r>
          <rPr>
            <sz val="8"/>
            <color indexed="81"/>
            <rFont val="Tahoma"/>
            <family val="2"/>
          </rPr>
          <t>When
 Standard or Common 
is selected the 
Pelmet Colour 
must be entered.</t>
        </r>
      </text>
    </comment>
    <comment ref="D21" authorId="0" shapeId="0" xr:uid="{00000000-0006-0000-0700-0000A9000000}">
      <text>
        <r>
          <rPr>
            <sz val="8"/>
            <color indexed="81"/>
            <rFont val="Tahoma"/>
            <family val="2"/>
          </rPr>
          <t>Fabric options are;
Amalfi
Como (Blockout)
Como (Translucent)
Florence
London
Maui
Milan
Pompeii
Rome (Blockout)
Rome (Translucent)
Sunscreen</t>
        </r>
      </text>
    </comment>
    <comment ref="E21" authorId="0" shapeId="0" xr:uid="{00000000-0006-0000-0700-0000A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1" authorId="0" shapeId="0" xr:uid="{00000000-0006-0000-0700-0000A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1" authorId="0" shapeId="0" xr:uid="{00000000-0006-0000-0700-0000AC000000}">
      <text>
        <r>
          <rPr>
            <sz val="8"/>
            <color indexed="81"/>
            <rFont val="Tahoma"/>
            <family val="2"/>
          </rPr>
          <t xml:space="preserve">Minimum Height/Drop is 500mm.
Maximum Height/Drop is 3000mm. </t>
        </r>
      </text>
    </comment>
    <comment ref="H21" authorId="0" shapeId="0" xr:uid="{00000000-0006-0000-0700-0000AD000000}">
      <text>
        <r>
          <rPr>
            <sz val="8"/>
            <color indexed="81"/>
            <rFont val="Tahoma"/>
            <family val="2"/>
          </rPr>
          <t xml:space="preserve">
Panel Quantities 
options;
2
3
4
5
6
7
9
Please note; 
Minimum Panel Width is 400mm.
Maximum Panel Width is 1000mm.</t>
        </r>
      </text>
    </comment>
    <comment ref="I21" authorId="0" shapeId="0" xr:uid="{00000000-0006-0000-0700-0000A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1" authorId="0" shapeId="0" xr:uid="{00000000-0006-0000-0700-0000AF000000}">
      <text>
        <r>
          <rPr>
            <sz val="8"/>
            <color indexed="81"/>
            <rFont val="Tahoma"/>
            <family val="2"/>
          </rPr>
          <t>When selecting a
Corner or Bay 
Window Type, 
the 
CMB Corner WS 
or 
CMB Bay WS 
must be completed.</t>
        </r>
      </text>
    </comment>
    <comment ref="L21" authorId="0" shapeId="0" xr:uid="{00000000-0006-0000-0700-0000B0000000}">
      <text>
        <r>
          <rPr>
            <sz val="8"/>
            <color indexed="81"/>
            <rFont val="Tahoma"/>
            <family val="2"/>
          </rPr>
          <t>ACT 
Actual Measurements
You have made the allowances.
NAM
No Allowances Made 
The factory will make the deductions.</t>
        </r>
      </text>
    </comment>
    <comment ref="N21" authorId="0" shapeId="0" xr:uid="{00000000-0006-0000-0700-0000B1000000}">
      <text>
        <r>
          <rPr>
            <sz val="8"/>
            <color indexed="81"/>
            <rFont val="Tahoma"/>
            <family val="2"/>
          </rPr>
          <t>Track Colour options are;
Clear Anodised
Black
White
White Birch
Please note; 
All Blinds are supplied 
with a Clear Anodised Wand.</t>
        </r>
      </text>
    </comment>
    <comment ref="O21" authorId="0" shapeId="0" xr:uid="{00000000-0006-0000-0700-0000B2000000}">
      <text>
        <r>
          <rPr>
            <sz val="8"/>
            <color indexed="81"/>
            <rFont val="Tahoma"/>
            <family val="2"/>
          </rPr>
          <t xml:space="preserve">
Finish options;
Sewn In Pocket
Bottom Rail</t>
        </r>
      </text>
    </comment>
    <comment ref="P21" authorId="0" shapeId="0" xr:uid="{00000000-0006-0000-0700-0000B3000000}">
      <text>
        <r>
          <rPr>
            <sz val="8"/>
            <color indexed="81"/>
            <rFont val="Tahoma"/>
            <family val="2"/>
          </rPr>
          <t xml:space="preserve">
Bottom Rail Colour options;
Bright Silver
Clear Anodised
Metallic Black
Mocha
White
White Birch</t>
        </r>
      </text>
    </comment>
    <comment ref="Q21" authorId="0" shapeId="0" xr:uid="{00000000-0006-0000-0700-0000B4000000}">
      <text>
        <r>
          <rPr>
            <sz val="8"/>
            <color indexed="81"/>
            <rFont val="Tahoma"/>
            <family val="2"/>
          </rPr>
          <t>When
 Standard or Common 
is selected the 
Pelmet Colour 
must be entered.</t>
        </r>
      </text>
    </comment>
    <comment ref="D22" authorId="0" shapeId="0" xr:uid="{00000000-0006-0000-0700-0000B5000000}">
      <text>
        <r>
          <rPr>
            <sz val="8"/>
            <color indexed="81"/>
            <rFont val="Tahoma"/>
            <family val="2"/>
          </rPr>
          <t>Fabric options are;
Amalfi
Como (Blockout)
Como (Translucent)
Florence
London
Maui
Milan
Pompeii
Rome (Blockout)
Rome (Translucent)
Sunscreen</t>
        </r>
      </text>
    </comment>
    <comment ref="E22" authorId="0" shapeId="0" xr:uid="{00000000-0006-0000-0700-0000B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2" authorId="0" shapeId="0" xr:uid="{00000000-0006-0000-0700-0000B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2" authorId="0" shapeId="0" xr:uid="{00000000-0006-0000-0700-0000B8000000}">
      <text>
        <r>
          <rPr>
            <sz val="8"/>
            <color indexed="81"/>
            <rFont val="Tahoma"/>
            <family val="2"/>
          </rPr>
          <t xml:space="preserve">Minimum Height/Drop is 500mm.
Maximum Height/Drop is 3000mm. </t>
        </r>
      </text>
    </comment>
    <comment ref="H22" authorId="0" shapeId="0" xr:uid="{00000000-0006-0000-0700-0000B9000000}">
      <text>
        <r>
          <rPr>
            <sz val="8"/>
            <color indexed="81"/>
            <rFont val="Tahoma"/>
            <family val="2"/>
          </rPr>
          <t xml:space="preserve">
Panel Quantities 
options;
2
3
4
5
6
7
9
Please note; 
Minimum Panel Width is 400mm.
Maximum Panel Width is 1000mm.</t>
        </r>
      </text>
    </comment>
    <comment ref="I22" authorId="0" shapeId="0" xr:uid="{00000000-0006-0000-0700-0000B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2" authorId="0" shapeId="0" xr:uid="{00000000-0006-0000-0700-0000BB000000}">
      <text>
        <r>
          <rPr>
            <sz val="8"/>
            <color indexed="81"/>
            <rFont val="Tahoma"/>
            <family val="2"/>
          </rPr>
          <t>When selecting a
Corner or Bay 
Window Type, 
the 
CMB Corner WS 
or 
CMB Bay WS 
must be completed.</t>
        </r>
      </text>
    </comment>
    <comment ref="L22" authorId="0" shapeId="0" xr:uid="{00000000-0006-0000-0700-0000BC000000}">
      <text>
        <r>
          <rPr>
            <sz val="8"/>
            <color indexed="81"/>
            <rFont val="Tahoma"/>
            <family val="2"/>
          </rPr>
          <t>ACT 
Actual Measurements
You have made the allowances.
NAM
No Allowances Made 
The factory will make the deductions.</t>
        </r>
      </text>
    </comment>
    <comment ref="N22" authorId="0" shapeId="0" xr:uid="{00000000-0006-0000-0700-0000BD000000}">
      <text>
        <r>
          <rPr>
            <sz val="8"/>
            <color indexed="81"/>
            <rFont val="Tahoma"/>
            <family val="2"/>
          </rPr>
          <t>Track Colour options are;
Clear Anodised
Black
White
White Birch
Please note; 
All Blinds are supplied 
with a Clear Anodised Wand.</t>
        </r>
      </text>
    </comment>
    <comment ref="O22" authorId="0" shapeId="0" xr:uid="{00000000-0006-0000-0700-0000BE000000}">
      <text>
        <r>
          <rPr>
            <sz val="8"/>
            <color indexed="81"/>
            <rFont val="Tahoma"/>
            <family val="2"/>
          </rPr>
          <t xml:space="preserve">
Finish options;
Sewn In Pocket
Bottom Rail</t>
        </r>
      </text>
    </comment>
    <comment ref="P22" authorId="0" shapeId="0" xr:uid="{00000000-0006-0000-0700-0000BF000000}">
      <text>
        <r>
          <rPr>
            <sz val="8"/>
            <color indexed="81"/>
            <rFont val="Tahoma"/>
            <family val="2"/>
          </rPr>
          <t xml:space="preserve">
Bottom Rail Colour options;
Bright Silver
Clear Anodised
Metallic Black
Mocha
White
White Birch</t>
        </r>
      </text>
    </comment>
    <comment ref="Q22" authorId="0" shapeId="0" xr:uid="{00000000-0006-0000-0700-0000C0000000}">
      <text>
        <r>
          <rPr>
            <sz val="8"/>
            <color indexed="81"/>
            <rFont val="Tahoma"/>
            <family val="2"/>
          </rPr>
          <t>When
 Standard or Common 
is selected the 
Pelmet Colour 
must be entered.</t>
        </r>
      </text>
    </comment>
    <comment ref="D23" authorId="0" shapeId="0" xr:uid="{00000000-0006-0000-0700-0000C1000000}">
      <text>
        <r>
          <rPr>
            <sz val="8"/>
            <color indexed="81"/>
            <rFont val="Tahoma"/>
            <family val="2"/>
          </rPr>
          <t>Fabric options are;
Amalfi
Como (Blockout)
Como (Translucent)
Florence
London
Maui
Milan
Pompeii
Rome (Blockout)
Rome (Translucent)
Sunscreen</t>
        </r>
      </text>
    </comment>
    <comment ref="E23" authorId="0" shapeId="0" xr:uid="{00000000-0006-0000-0700-0000C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3" authorId="0" shapeId="0" xr:uid="{00000000-0006-0000-0700-0000C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3" authorId="0" shapeId="0" xr:uid="{00000000-0006-0000-0700-0000C4000000}">
      <text>
        <r>
          <rPr>
            <sz val="8"/>
            <color indexed="81"/>
            <rFont val="Tahoma"/>
            <family val="2"/>
          </rPr>
          <t xml:space="preserve">Minimum Height/Drop is 500mm.
Maximum Height/Drop is 3000mm. </t>
        </r>
      </text>
    </comment>
    <comment ref="H23" authorId="0" shapeId="0" xr:uid="{00000000-0006-0000-0700-0000C5000000}">
      <text>
        <r>
          <rPr>
            <sz val="8"/>
            <color indexed="81"/>
            <rFont val="Tahoma"/>
            <family val="2"/>
          </rPr>
          <t xml:space="preserve">
Panel Quantities 
options;
2
3
4
5
6
7
9
Please note; 
Minimum Panel Width is 400mm.
Maximum Panel Width is 1000mm.</t>
        </r>
      </text>
    </comment>
    <comment ref="I23" authorId="0" shapeId="0" xr:uid="{00000000-0006-0000-0700-0000C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3" authorId="0" shapeId="0" xr:uid="{00000000-0006-0000-0700-0000C7000000}">
      <text>
        <r>
          <rPr>
            <sz val="8"/>
            <color indexed="81"/>
            <rFont val="Tahoma"/>
            <family val="2"/>
          </rPr>
          <t>When selecting a
Corner or Bay 
Window Type, 
the 
CMB Corner WS 
or 
CMB Bay WS 
must be completed.</t>
        </r>
      </text>
    </comment>
    <comment ref="L23" authorId="0" shapeId="0" xr:uid="{00000000-0006-0000-0700-0000C8000000}">
      <text>
        <r>
          <rPr>
            <sz val="8"/>
            <color indexed="81"/>
            <rFont val="Tahoma"/>
            <family val="2"/>
          </rPr>
          <t>ACT 
Actual Measurements
You have made the allowances.
NAM
No Allowances Made 
The factory will make the deductions.</t>
        </r>
      </text>
    </comment>
    <comment ref="N23" authorId="0" shapeId="0" xr:uid="{00000000-0006-0000-0700-0000C9000000}">
      <text>
        <r>
          <rPr>
            <sz val="8"/>
            <color indexed="81"/>
            <rFont val="Tahoma"/>
            <family val="2"/>
          </rPr>
          <t>Track Colour options are;
Clear Anodised
Black
White
White Birch
Please note; 
All Blinds are supplied 
with a Clear Anodised Wand.</t>
        </r>
      </text>
    </comment>
    <comment ref="O23" authorId="0" shapeId="0" xr:uid="{00000000-0006-0000-0700-0000CA000000}">
      <text>
        <r>
          <rPr>
            <sz val="8"/>
            <color indexed="81"/>
            <rFont val="Tahoma"/>
            <family val="2"/>
          </rPr>
          <t xml:space="preserve">
Finish options;
Sewn In Pocket
Bottom Rail</t>
        </r>
      </text>
    </comment>
    <comment ref="P23" authorId="0" shapeId="0" xr:uid="{00000000-0006-0000-0700-0000CB000000}">
      <text>
        <r>
          <rPr>
            <sz val="8"/>
            <color indexed="81"/>
            <rFont val="Tahoma"/>
            <family val="2"/>
          </rPr>
          <t xml:space="preserve">
Bottom Rail Colour options;
Bright Silver
Clear Anodised
Metallic Black
Mocha
White
White Birch</t>
        </r>
      </text>
    </comment>
    <comment ref="Q23" authorId="0" shapeId="0" xr:uid="{00000000-0006-0000-0700-0000CC000000}">
      <text>
        <r>
          <rPr>
            <sz val="8"/>
            <color indexed="81"/>
            <rFont val="Tahoma"/>
            <family val="2"/>
          </rPr>
          <t>When
 Standard or Common 
is selected the 
Pelmet Colour 
must be entered.</t>
        </r>
      </text>
    </comment>
    <comment ref="D24" authorId="0" shapeId="0" xr:uid="{00000000-0006-0000-0700-0000CD000000}">
      <text>
        <r>
          <rPr>
            <sz val="8"/>
            <color indexed="81"/>
            <rFont val="Tahoma"/>
            <family val="2"/>
          </rPr>
          <t>Fabric options are;
Amalfi
Como (Blockout)
Como (Translucent)
Florence
London
Maui
Milan
Pompeii
Rome (Blockout)
Rome (Translucent)
Sunscreen</t>
        </r>
      </text>
    </comment>
    <comment ref="E24" authorId="0" shapeId="0" xr:uid="{00000000-0006-0000-0700-0000C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4" authorId="0" shapeId="0" xr:uid="{00000000-0006-0000-0700-0000C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4" authorId="0" shapeId="0" xr:uid="{00000000-0006-0000-0700-0000D0000000}">
      <text>
        <r>
          <rPr>
            <sz val="8"/>
            <color indexed="81"/>
            <rFont val="Tahoma"/>
            <family val="2"/>
          </rPr>
          <t xml:space="preserve">Minimum Height/Drop is 500mm.
Maximum Height/Drop is 3000mm. </t>
        </r>
      </text>
    </comment>
    <comment ref="H24" authorId="0" shapeId="0" xr:uid="{00000000-0006-0000-0700-0000D1000000}">
      <text>
        <r>
          <rPr>
            <sz val="8"/>
            <color indexed="81"/>
            <rFont val="Tahoma"/>
            <family val="2"/>
          </rPr>
          <t xml:space="preserve">
Panel Quantities 
options;
2
3
4
5
6
7
9
Please note; 
Minimum Panel Width is 400mm.
Maximum Panel Width is 1000mm.</t>
        </r>
      </text>
    </comment>
    <comment ref="I24" authorId="0" shapeId="0" xr:uid="{00000000-0006-0000-0700-0000D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4" authorId="0" shapeId="0" xr:uid="{00000000-0006-0000-0700-0000D3000000}">
      <text>
        <r>
          <rPr>
            <sz val="8"/>
            <color indexed="81"/>
            <rFont val="Tahoma"/>
            <family val="2"/>
          </rPr>
          <t>When selecting a
Corner or Bay 
Window Type, 
the 
CMB Corner WS 
or 
CMB Bay WS 
must be completed.</t>
        </r>
      </text>
    </comment>
    <comment ref="L24" authorId="0" shapeId="0" xr:uid="{00000000-0006-0000-0700-0000D4000000}">
      <text>
        <r>
          <rPr>
            <sz val="8"/>
            <color indexed="81"/>
            <rFont val="Tahoma"/>
            <family val="2"/>
          </rPr>
          <t>ACT 
Actual Measurements
You have made the allowances.
NAM
No Allowances Made 
The factory will make the deductions.</t>
        </r>
      </text>
    </comment>
    <comment ref="N24" authorId="0" shapeId="0" xr:uid="{00000000-0006-0000-0700-0000D5000000}">
      <text>
        <r>
          <rPr>
            <sz val="8"/>
            <color indexed="81"/>
            <rFont val="Tahoma"/>
            <family val="2"/>
          </rPr>
          <t>Track Colour options are;
Clear Anodised
Black
White
White Birch
Please note; 
All Blinds are supplied 
with a Clear Anodised Wand.</t>
        </r>
      </text>
    </comment>
    <comment ref="O24" authorId="0" shapeId="0" xr:uid="{00000000-0006-0000-0700-0000D6000000}">
      <text>
        <r>
          <rPr>
            <sz val="8"/>
            <color indexed="81"/>
            <rFont val="Tahoma"/>
            <family val="2"/>
          </rPr>
          <t xml:space="preserve">
Finish options;
Sewn In Pocket
Bottom Rail</t>
        </r>
      </text>
    </comment>
    <comment ref="P24" authorId="0" shapeId="0" xr:uid="{00000000-0006-0000-0700-0000D7000000}">
      <text>
        <r>
          <rPr>
            <sz val="8"/>
            <color indexed="81"/>
            <rFont val="Tahoma"/>
            <family val="2"/>
          </rPr>
          <t xml:space="preserve">
Bottom Rail Colour options;
Bright Silver
Clear Anodised
Metallic Black
Mocha
White
White Birch</t>
        </r>
      </text>
    </comment>
    <comment ref="Q24" authorId="0" shapeId="0" xr:uid="{00000000-0006-0000-0700-0000D8000000}">
      <text>
        <r>
          <rPr>
            <sz val="8"/>
            <color indexed="81"/>
            <rFont val="Tahoma"/>
            <family val="2"/>
          </rPr>
          <t>When
 Standard or Common 
is selected the 
Pelmet Colour 
must be entered.</t>
        </r>
      </text>
    </comment>
    <comment ref="D25" authorId="0" shapeId="0" xr:uid="{00000000-0006-0000-0700-0000D9000000}">
      <text>
        <r>
          <rPr>
            <sz val="8"/>
            <color indexed="81"/>
            <rFont val="Tahoma"/>
            <family val="2"/>
          </rPr>
          <t>Fabric options are;
Amalfi
Como (Blockout)
Como (Translucent)
Florence
London
Maui
Milan
Pompeii
Rome (Blockout)
Rome (Translucent)
Sunscreen</t>
        </r>
      </text>
    </comment>
    <comment ref="E25" authorId="0" shapeId="0" xr:uid="{00000000-0006-0000-0700-0000D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5" authorId="0" shapeId="0" xr:uid="{00000000-0006-0000-0700-0000D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5" authorId="0" shapeId="0" xr:uid="{00000000-0006-0000-0700-0000DC000000}">
      <text>
        <r>
          <rPr>
            <sz val="8"/>
            <color indexed="81"/>
            <rFont val="Tahoma"/>
            <family val="2"/>
          </rPr>
          <t xml:space="preserve">Minimum Height/Drop is 500mm.
Maximum Height/Drop is 3000mm. </t>
        </r>
      </text>
    </comment>
    <comment ref="H25" authorId="0" shapeId="0" xr:uid="{00000000-0006-0000-0700-0000DD000000}">
      <text>
        <r>
          <rPr>
            <sz val="8"/>
            <color indexed="81"/>
            <rFont val="Tahoma"/>
            <family val="2"/>
          </rPr>
          <t xml:space="preserve">
Panel Quantities 
options;
2
3
4
5
6
7
9
Please note; 
Minimum Panel Width is 400mm.
Maximum Panel Width is 1000mm.</t>
        </r>
      </text>
    </comment>
    <comment ref="I25" authorId="0" shapeId="0" xr:uid="{00000000-0006-0000-0700-0000D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5" authorId="0" shapeId="0" xr:uid="{00000000-0006-0000-0700-0000DF000000}">
      <text>
        <r>
          <rPr>
            <sz val="8"/>
            <color indexed="81"/>
            <rFont val="Tahoma"/>
            <family val="2"/>
          </rPr>
          <t>When selecting a
Corner or Bay 
Window Type, 
the 
CMB Corner WS 
or 
CMB Bay WS 
must be completed.</t>
        </r>
      </text>
    </comment>
    <comment ref="L25" authorId="0" shapeId="0" xr:uid="{00000000-0006-0000-0700-0000E0000000}">
      <text>
        <r>
          <rPr>
            <sz val="8"/>
            <color indexed="81"/>
            <rFont val="Tahoma"/>
            <family val="2"/>
          </rPr>
          <t>ACT 
Actual Measurements
You have made the allowances.
NAM
No Allowances Made 
The factory will make the deductions.</t>
        </r>
      </text>
    </comment>
    <comment ref="N25" authorId="0" shapeId="0" xr:uid="{00000000-0006-0000-0700-0000E1000000}">
      <text>
        <r>
          <rPr>
            <sz val="8"/>
            <color indexed="81"/>
            <rFont val="Tahoma"/>
            <family val="2"/>
          </rPr>
          <t>Track Colour options are;
Clear Anodised
Black
White
White Birch
Please note; 
All Blinds are supplied 
with a Clear Anodised Wand.</t>
        </r>
      </text>
    </comment>
    <comment ref="O25" authorId="0" shapeId="0" xr:uid="{00000000-0006-0000-0700-0000E2000000}">
      <text>
        <r>
          <rPr>
            <sz val="8"/>
            <color indexed="81"/>
            <rFont val="Tahoma"/>
            <family val="2"/>
          </rPr>
          <t xml:space="preserve">
Finish options;
Sewn In Pocket
Bottom Rail</t>
        </r>
      </text>
    </comment>
    <comment ref="P25" authorId="0" shapeId="0" xr:uid="{00000000-0006-0000-0700-0000E3000000}">
      <text>
        <r>
          <rPr>
            <sz val="8"/>
            <color indexed="81"/>
            <rFont val="Tahoma"/>
            <family val="2"/>
          </rPr>
          <t xml:space="preserve">
Bottom Rail Colour options;
Bright Silver
Clear Anodised
Metallic Black
Mocha
White
White Birch</t>
        </r>
      </text>
    </comment>
    <comment ref="Q25" authorId="0" shapeId="0" xr:uid="{00000000-0006-0000-0700-0000E4000000}">
      <text>
        <r>
          <rPr>
            <sz val="8"/>
            <color indexed="81"/>
            <rFont val="Tahoma"/>
            <family val="2"/>
          </rPr>
          <t>When
 Standard or Common 
is selected the 
Pelmet Colour 
must be entered.</t>
        </r>
      </text>
    </comment>
    <comment ref="D26" authorId="0" shapeId="0" xr:uid="{00000000-0006-0000-0700-0000E5000000}">
      <text>
        <r>
          <rPr>
            <sz val="8"/>
            <color indexed="81"/>
            <rFont val="Tahoma"/>
            <family val="2"/>
          </rPr>
          <t>Fabric options are;
Amalfi
Como (Blockout)
Como (Translucent)
Florence
London
Maui
Milan
Pompeii
Rome (Blockout)
Rome (Translucent)
Sunscreen</t>
        </r>
      </text>
    </comment>
    <comment ref="E26" authorId="0" shapeId="0" xr:uid="{00000000-0006-0000-0700-0000E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6" authorId="0" shapeId="0" xr:uid="{00000000-0006-0000-0700-0000E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6" authorId="0" shapeId="0" xr:uid="{00000000-0006-0000-0700-0000E8000000}">
      <text>
        <r>
          <rPr>
            <sz val="8"/>
            <color indexed="81"/>
            <rFont val="Tahoma"/>
            <family val="2"/>
          </rPr>
          <t xml:space="preserve">Minimum Height/Drop is 500mm.
Maximum Height/Drop is 3000mm. </t>
        </r>
      </text>
    </comment>
    <comment ref="H26" authorId="0" shapeId="0" xr:uid="{00000000-0006-0000-0700-0000E9000000}">
      <text>
        <r>
          <rPr>
            <sz val="8"/>
            <color indexed="81"/>
            <rFont val="Tahoma"/>
            <family val="2"/>
          </rPr>
          <t xml:space="preserve">
Panel Quantities 
options;
2
3
4
5
6
7
9
Please note; 
Minimum Panel Width is 400mm.
Maximum Panel Width is 1000mm.</t>
        </r>
      </text>
    </comment>
    <comment ref="I26" authorId="0" shapeId="0" xr:uid="{00000000-0006-0000-0700-0000E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6" authorId="0" shapeId="0" xr:uid="{00000000-0006-0000-0700-0000EB000000}">
      <text>
        <r>
          <rPr>
            <sz val="8"/>
            <color indexed="81"/>
            <rFont val="Tahoma"/>
            <family val="2"/>
          </rPr>
          <t>When selecting a
Corner or Bay 
Window Type, 
the 
CMB Corner WS 
or 
CMB Bay WS 
must be completed.</t>
        </r>
      </text>
    </comment>
    <comment ref="L26" authorId="0" shapeId="0" xr:uid="{00000000-0006-0000-0700-0000EC000000}">
      <text>
        <r>
          <rPr>
            <sz val="8"/>
            <color indexed="81"/>
            <rFont val="Tahoma"/>
            <family val="2"/>
          </rPr>
          <t>ACT 
Actual Measurements
You have made the allowances.
NAM
No Allowances Made 
The factory will make the deductions.</t>
        </r>
      </text>
    </comment>
    <comment ref="N26" authorId="0" shapeId="0" xr:uid="{00000000-0006-0000-0700-0000ED000000}">
      <text>
        <r>
          <rPr>
            <sz val="8"/>
            <color indexed="81"/>
            <rFont val="Tahoma"/>
            <family val="2"/>
          </rPr>
          <t>Track Colour options are;
Clear Anodised
Black
White
White Birch
Please note; 
All Blinds are supplied 
with a Clear Anodised Wand.</t>
        </r>
      </text>
    </comment>
    <comment ref="O26" authorId="0" shapeId="0" xr:uid="{00000000-0006-0000-0700-0000EE000000}">
      <text>
        <r>
          <rPr>
            <sz val="8"/>
            <color indexed="81"/>
            <rFont val="Tahoma"/>
            <family val="2"/>
          </rPr>
          <t xml:space="preserve">
Finish options;
Sewn In Pocket
Bottom Rail</t>
        </r>
      </text>
    </comment>
    <comment ref="P26" authorId="0" shapeId="0" xr:uid="{00000000-0006-0000-0700-0000EF000000}">
      <text>
        <r>
          <rPr>
            <sz val="8"/>
            <color indexed="81"/>
            <rFont val="Tahoma"/>
            <family val="2"/>
          </rPr>
          <t xml:space="preserve">
Bottom Rail Colour options;
Bright Silver
Clear Anodised
Metallic Black
Mocha
White
White Birch</t>
        </r>
      </text>
    </comment>
    <comment ref="Q26" authorId="0" shapeId="0" xr:uid="{00000000-0006-0000-0700-0000F0000000}">
      <text>
        <r>
          <rPr>
            <sz val="8"/>
            <color indexed="81"/>
            <rFont val="Tahoma"/>
            <family val="2"/>
          </rPr>
          <t>When
 Standard or Common 
is selected the 
Pelmet Colour 
must be entered.</t>
        </r>
      </text>
    </comment>
    <comment ref="D27" authorId="0" shapeId="0" xr:uid="{00000000-0006-0000-0700-0000F1000000}">
      <text>
        <r>
          <rPr>
            <sz val="8"/>
            <color indexed="81"/>
            <rFont val="Tahoma"/>
            <family val="2"/>
          </rPr>
          <t>Fabric options are;
Amalfi
Como (Blockout)
Como (Translucent)
Florence
London
Maui
Milan
Pompeii
Rome (Blockout)
Rome (Translucent)
Sunscreen</t>
        </r>
      </text>
    </comment>
    <comment ref="E27" authorId="0" shapeId="0" xr:uid="{00000000-0006-0000-0700-0000F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7" authorId="0" shapeId="0" xr:uid="{00000000-0006-0000-0700-0000F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7" authorId="0" shapeId="0" xr:uid="{00000000-0006-0000-0700-0000F4000000}">
      <text>
        <r>
          <rPr>
            <sz val="8"/>
            <color indexed="81"/>
            <rFont val="Tahoma"/>
            <family val="2"/>
          </rPr>
          <t xml:space="preserve">Minimum Height/Drop is 500mm.
Maximum Height/Drop is 3000mm. </t>
        </r>
      </text>
    </comment>
    <comment ref="H27" authorId="0" shapeId="0" xr:uid="{00000000-0006-0000-0700-0000F5000000}">
      <text>
        <r>
          <rPr>
            <sz val="8"/>
            <color indexed="81"/>
            <rFont val="Tahoma"/>
            <family val="2"/>
          </rPr>
          <t xml:space="preserve">
Panel Quantities 
options;
2
3
4
5
6
7
9
Please note; 
Minimum Panel Width is 400mm.
Maximum Panel Width is 1000mm.</t>
        </r>
      </text>
    </comment>
    <comment ref="I27" authorId="0" shapeId="0" xr:uid="{00000000-0006-0000-0700-0000F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7" authorId="0" shapeId="0" xr:uid="{00000000-0006-0000-0700-0000F7000000}">
      <text>
        <r>
          <rPr>
            <sz val="8"/>
            <color indexed="81"/>
            <rFont val="Tahoma"/>
            <family val="2"/>
          </rPr>
          <t>When selecting a
Corner or Bay 
Window Type, 
the 
CMB Corner WS 
or 
CMB Bay WS 
must be completed.</t>
        </r>
      </text>
    </comment>
    <comment ref="L27" authorId="0" shapeId="0" xr:uid="{00000000-0006-0000-0700-0000F8000000}">
      <text>
        <r>
          <rPr>
            <sz val="8"/>
            <color indexed="81"/>
            <rFont val="Tahoma"/>
            <family val="2"/>
          </rPr>
          <t>ACT 
Actual Measurements
You have made the allowances.
NAM
No Allowances Made 
The factory will make the deductions.</t>
        </r>
      </text>
    </comment>
    <comment ref="N27" authorId="0" shapeId="0" xr:uid="{00000000-0006-0000-0700-0000F9000000}">
      <text>
        <r>
          <rPr>
            <sz val="8"/>
            <color indexed="81"/>
            <rFont val="Tahoma"/>
            <family val="2"/>
          </rPr>
          <t>Track Colour options are;
Clear Anodised
Black
White
White Birch
Please note; 
All Blinds are supplied 
with a Clear Anodised Wand.</t>
        </r>
      </text>
    </comment>
    <comment ref="O27" authorId="0" shapeId="0" xr:uid="{00000000-0006-0000-0700-0000FA000000}">
      <text>
        <r>
          <rPr>
            <sz val="8"/>
            <color indexed="81"/>
            <rFont val="Tahoma"/>
            <family val="2"/>
          </rPr>
          <t xml:space="preserve">
Finish options;
Sewn In Pocket
Bottom Rail</t>
        </r>
      </text>
    </comment>
    <comment ref="P27" authorId="0" shapeId="0" xr:uid="{00000000-0006-0000-0700-0000FB000000}">
      <text>
        <r>
          <rPr>
            <sz val="8"/>
            <color indexed="81"/>
            <rFont val="Tahoma"/>
            <family val="2"/>
          </rPr>
          <t xml:space="preserve">
Bottom Rail Colour options;
Bright Silver
Clear Anodised
Metallic Black
Mocha
White
White Birch</t>
        </r>
      </text>
    </comment>
    <comment ref="Q27" authorId="0" shapeId="0" xr:uid="{00000000-0006-0000-0700-0000FC000000}">
      <text>
        <r>
          <rPr>
            <sz val="8"/>
            <color indexed="81"/>
            <rFont val="Tahoma"/>
            <family val="2"/>
          </rPr>
          <t>When
 Standard or Common 
is selected the 
Pelmet Colour 
must be entered.</t>
        </r>
      </text>
    </comment>
    <comment ref="D28" authorId="0" shapeId="0" xr:uid="{00000000-0006-0000-0700-0000FD000000}">
      <text>
        <r>
          <rPr>
            <sz val="8"/>
            <color indexed="81"/>
            <rFont val="Tahoma"/>
            <family val="2"/>
          </rPr>
          <t>Fabric options are;
Amalfi
Como (Blockout)
Como (Translucent)
Florence
London
Maui
Milan
Pompeii
Rome (Blockout)
Rome (Translucent)
Sunscreen</t>
        </r>
      </text>
    </comment>
    <comment ref="E28" authorId="0" shapeId="0" xr:uid="{00000000-0006-0000-0700-0000F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8" authorId="0" shapeId="0" xr:uid="{00000000-0006-0000-0700-0000F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8" authorId="0" shapeId="0" xr:uid="{00000000-0006-0000-0700-000000010000}">
      <text>
        <r>
          <rPr>
            <sz val="8"/>
            <color indexed="81"/>
            <rFont val="Tahoma"/>
            <family val="2"/>
          </rPr>
          <t xml:space="preserve">Minimum Height/Drop is 500mm.
Maximum Height/Drop is 3000mm. </t>
        </r>
      </text>
    </comment>
    <comment ref="H28" authorId="0" shapeId="0" xr:uid="{00000000-0006-0000-0700-000001010000}">
      <text>
        <r>
          <rPr>
            <sz val="8"/>
            <color indexed="81"/>
            <rFont val="Tahoma"/>
            <family val="2"/>
          </rPr>
          <t xml:space="preserve">
Panel Quantities 
options;
2
3
4
5
6
7
9
Please note; 
Minimum Panel Width is 400mm.
Maximum Panel Width is 1000mm.</t>
        </r>
      </text>
    </comment>
    <comment ref="I28" authorId="0" shapeId="0" xr:uid="{00000000-0006-0000-0700-00000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8" authorId="0" shapeId="0" xr:uid="{00000000-0006-0000-0700-000003010000}">
      <text>
        <r>
          <rPr>
            <sz val="8"/>
            <color indexed="81"/>
            <rFont val="Tahoma"/>
            <family val="2"/>
          </rPr>
          <t>When selecting a
Corner or Bay 
Window Type, 
the 
CMB Corner WS 
or 
CMB Bay WS 
must be completed.</t>
        </r>
      </text>
    </comment>
    <comment ref="L28" authorId="0" shapeId="0" xr:uid="{00000000-0006-0000-0700-000004010000}">
      <text>
        <r>
          <rPr>
            <sz val="8"/>
            <color indexed="81"/>
            <rFont val="Tahoma"/>
            <family val="2"/>
          </rPr>
          <t>ACT 
Actual Measurements
You have made the allowances.
NAM
No Allowances Made 
The factory will make the deductions.</t>
        </r>
      </text>
    </comment>
    <comment ref="N28" authorId="0" shapeId="0" xr:uid="{00000000-0006-0000-0700-000005010000}">
      <text>
        <r>
          <rPr>
            <sz val="8"/>
            <color indexed="81"/>
            <rFont val="Tahoma"/>
            <family val="2"/>
          </rPr>
          <t>Track Colour options are;
Clear Anodised
Black
White
White Birch
Please note; 
All Blinds are supplied 
with a Clear Anodised Wand.</t>
        </r>
      </text>
    </comment>
    <comment ref="O28" authorId="0" shapeId="0" xr:uid="{00000000-0006-0000-0700-000006010000}">
      <text>
        <r>
          <rPr>
            <sz val="8"/>
            <color indexed="81"/>
            <rFont val="Tahoma"/>
            <family val="2"/>
          </rPr>
          <t xml:space="preserve">
Finish options;
Sewn In Pocket
Bottom Rail</t>
        </r>
      </text>
    </comment>
    <comment ref="P28" authorId="0" shapeId="0" xr:uid="{00000000-0006-0000-0700-000007010000}">
      <text>
        <r>
          <rPr>
            <sz val="8"/>
            <color indexed="81"/>
            <rFont val="Tahoma"/>
            <family val="2"/>
          </rPr>
          <t xml:space="preserve">
Bottom Rail Colour options;
Bright Silver
Clear Anodised
Metallic Black
Mocha
White
White Birch</t>
        </r>
      </text>
    </comment>
    <comment ref="Q28" authorId="0" shapeId="0" xr:uid="{00000000-0006-0000-0700-000008010000}">
      <text>
        <r>
          <rPr>
            <sz val="8"/>
            <color indexed="81"/>
            <rFont val="Tahoma"/>
            <family val="2"/>
          </rPr>
          <t>When
 Standard or Common 
is selected the 
Pelmet Colour 
must be entered.</t>
        </r>
      </text>
    </comment>
    <comment ref="D29" authorId="0" shapeId="0" xr:uid="{00000000-0006-0000-0700-000009010000}">
      <text>
        <r>
          <rPr>
            <sz val="8"/>
            <color indexed="81"/>
            <rFont val="Tahoma"/>
            <family val="2"/>
          </rPr>
          <t>Fabric options are;
Amalfi
Como (Blockout)
Como (Translucent)
Florence
London
Maui
Milan
Pompeii
Rome (Blockout)
Rome (Translucent)
Sunscreen</t>
        </r>
      </text>
    </comment>
    <comment ref="E29" authorId="0" shapeId="0" xr:uid="{00000000-0006-0000-0700-00000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9" authorId="0" shapeId="0" xr:uid="{00000000-0006-0000-0700-00000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9" authorId="0" shapeId="0" xr:uid="{00000000-0006-0000-0700-00000C010000}">
      <text>
        <r>
          <rPr>
            <sz val="8"/>
            <color indexed="81"/>
            <rFont val="Tahoma"/>
            <family val="2"/>
          </rPr>
          <t xml:space="preserve">Minimum Height/Drop is 500mm.
Maximum Height/Drop is 3000mm. </t>
        </r>
      </text>
    </comment>
    <comment ref="H29" authorId="0" shapeId="0" xr:uid="{00000000-0006-0000-0700-00000D010000}">
      <text>
        <r>
          <rPr>
            <sz val="8"/>
            <color indexed="81"/>
            <rFont val="Tahoma"/>
            <family val="2"/>
          </rPr>
          <t xml:space="preserve">
Panel Quantities 
options;
2
3
4
5
6
7
9
Please note; 
Minimum Panel Width is 400mm.
Maximum Panel Width is 1000mm.</t>
        </r>
      </text>
    </comment>
    <comment ref="I29" authorId="0" shapeId="0" xr:uid="{00000000-0006-0000-0700-00000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9" authorId="0" shapeId="0" xr:uid="{00000000-0006-0000-0700-00000F010000}">
      <text>
        <r>
          <rPr>
            <sz val="8"/>
            <color indexed="81"/>
            <rFont val="Tahoma"/>
            <family val="2"/>
          </rPr>
          <t>When selecting a
Corner or Bay 
Window Type, 
the 
CMB Corner WS 
or 
CMB Bay WS 
must be completed.</t>
        </r>
      </text>
    </comment>
    <comment ref="L29" authorId="0" shapeId="0" xr:uid="{00000000-0006-0000-0700-000010010000}">
      <text>
        <r>
          <rPr>
            <sz val="8"/>
            <color indexed="81"/>
            <rFont val="Tahoma"/>
            <family val="2"/>
          </rPr>
          <t>ACT 
Actual Measurements
You have made the allowances.
NAM
No Allowances Made 
The factory will make the deductions.</t>
        </r>
      </text>
    </comment>
    <comment ref="N29" authorId="0" shapeId="0" xr:uid="{00000000-0006-0000-0700-000011010000}">
      <text>
        <r>
          <rPr>
            <sz val="8"/>
            <color indexed="81"/>
            <rFont val="Tahoma"/>
            <family val="2"/>
          </rPr>
          <t>Track Colour options are;
Clear Anodised
Black
White
White Birch
Please note; 
All Blinds are supplied 
with a Clear Anodised Wand.</t>
        </r>
      </text>
    </comment>
    <comment ref="O29" authorId="0" shapeId="0" xr:uid="{00000000-0006-0000-0700-000012010000}">
      <text>
        <r>
          <rPr>
            <sz val="8"/>
            <color indexed="81"/>
            <rFont val="Tahoma"/>
            <family val="2"/>
          </rPr>
          <t xml:space="preserve">
Finish options;
Sewn In Pocket
Bottom Rail</t>
        </r>
      </text>
    </comment>
    <comment ref="P29" authorId="0" shapeId="0" xr:uid="{00000000-0006-0000-0700-000013010000}">
      <text>
        <r>
          <rPr>
            <sz val="8"/>
            <color indexed="81"/>
            <rFont val="Tahoma"/>
            <family val="2"/>
          </rPr>
          <t xml:space="preserve">
Bottom Rail Colour options;
Bright Silver
Clear Anodised
Metallic Black
Mocha
White
White Birch</t>
        </r>
      </text>
    </comment>
    <comment ref="Q29" authorId="0" shapeId="0" xr:uid="{00000000-0006-0000-0700-000014010000}">
      <text>
        <r>
          <rPr>
            <sz val="8"/>
            <color indexed="81"/>
            <rFont val="Tahoma"/>
            <family val="2"/>
          </rPr>
          <t>When
 Standard or Common 
is selected the 
Pelmet Colour 
must be entered.</t>
        </r>
      </text>
    </comment>
    <comment ref="D30" authorId="0" shapeId="0" xr:uid="{00000000-0006-0000-0700-000015010000}">
      <text>
        <r>
          <rPr>
            <sz val="8"/>
            <color indexed="81"/>
            <rFont val="Tahoma"/>
            <family val="2"/>
          </rPr>
          <t>Fabric options are;
Amalfi
Como (Blockout)
Como (Translucent)
Florence
London
Maui
Milan
Pompeii
Rome (Blockout)
Rome (Translucent)
Sunscreen</t>
        </r>
      </text>
    </comment>
    <comment ref="E30" authorId="0" shapeId="0" xr:uid="{00000000-0006-0000-0700-00001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0" authorId="0" shapeId="0" xr:uid="{00000000-0006-0000-0700-00001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0" authorId="0" shapeId="0" xr:uid="{00000000-0006-0000-0700-000018010000}">
      <text>
        <r>
          <rPr>
            <sz val="8"/>
            <color indexed="81"/>
            <rFont val="Tahoma"/>
            <family val="2"/>
          </rPr>
          <t xml:space="preserve">Minimum Height/Drop is 500mm.
Maximum Height/Drop is 3000mm. </t>
        </r>
      </text>
    </comment>
    <comment ref="H30" authorId="0" shapeId="0" xr:uid="{00000000-0006-0000-0700-000019010000}">
      <text>
        <r>
          <rPr>
            <sz val="8"/>
            <color indexed="81"/>
            <rFont val="Tahoma"/>
            <family val="2"/>
          </rPr>
          <t xml:space="preserve">
Panel Quantities 
options;
2
3
4
5
6
7
9
Please note; 
Minimum Panel Width is 400mm.
Maximum Panel Width is 1000mm.</t>
        </r>
      </text>
    </comment>
    <comment ref="I30" authorId="0" shapeId="0" xr:uid="{00000000-0006-0000-0700-00001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0" authorId="0" shapeId="0" xr:uid="{00000000-0006-0000-0700-00001B010000}">
      <text>
        <r>
          <rPr>
            <sz val="8"/>
            <color indexed="81"/>
            <rFont val="Tahoma"/>
            <family val="2"/>
          </rPr>
          <t>When selecting a
Corner or Bay 
Window Type, 
the 
CMB Corner WS 
or 
CMB Bay WS 
must be completed.</t>
        </r>
      </text>
    </comment>
    <comment ref="L30" authorId="0" shapeId="0" xr:uid="{00000000-0006-0000-0700-00001C010000}">
      <text>
        <r>
          <rPr>
            <sz val="8"/>
            <color indexed="81"/>
            <rFont val="Tahoma"/>
            <family val="2"/>
          </rPr>
          <t>ACT 
Actual Measurements
You have made the allowances.
NAM
No Allowances Made 
The factory will make the deductions.</t>
        </r>
      </text>
    </comment>
    <comment ref="N30" authorId="0" shapeId="0" xr:uid="{00000000-0006-0000-0700-00001D010000}">
      <text>
        <r>
          <rPr>
            <sz val="8"/>
            <color indexed="81"/>
            <rFont val="Tahoma"/>
            <family val="2"/>
          </rPr>
          <t>Track Colour options are;
Clear Anodised
Black
White
White Birch
Please note; 
All Blinds are supplied 
with a Clear Anodised Wand.</t>
        </r>
      </text>
    </comment>
    <comment ref="O30" authorId="0" shapeId="0" xr:uid="{00000000-0006-0000-0700-00001E010000}">
      <text>
        <r>
          <rPr>
            <sz val="8"/>
            <color indexed="81"/>
            <rFont val="Tahoma"/>
            <family val="2"/>
          </rPr>
          <t xml:space="preserve">
Finish options;
Sewn In Pocket
Bottom Rail</t>
        </r>
      </text>
    </comment>
    <comment ref="P30" authorId="0" shapeId="0" xr:uid="{00000000-0006-0000-0700-00001F010000}">
      <text>
        <r>
          <rPr>
            <sz val="8"/>
            <color indexed="81"/>
            <rFont val="Tahoma"/>
            <family val="2"/>
          </rPr>
          <t xml:space="preserve">
Bottom Rail Colour options;
Bright Silver
Clear Anodised
Metallic Black
Mocha
White
White Birch</t>
        </r>
      </text>
    </comment>
    <comment ref="Q30" authorId="0" shapeId="0" xr:uid="{00000000-0006-0000-0700-000020010000}">
      <text>
        <r>
          <rPr>
            <sz val="8"/>
            <color indexed="81"/>
            <rFont val="Tahoma"/>
            <family val="2"/>
          </rPr>
          <t>When
 Standard or Common 
is selected the 
Pelmet Colour 
must be entered.</t>
        </r>
      </text>
    </comment>
    <comment ref="D31" authorId="0" shapeId="0" xr:uid="{00000000-0006-0000-0700-000021010000}">
      <text>
        <r>
          <rPr>
            <sz val="8"/>
            <color indexed="81"/>
            <rFont val="Tahoma"/>
            <family val="2"/>
          </rPr>
          <t>Fabric options are;
Amalfi
Como (Blockout)
Como (Translucent)
Florence
London
Maui
Milan
Pompeii
Rome (Blockout)
Rome (Translucent)
Sunscreen</t>
        </r>
      </text>
    </comment>
    <comment ref="E31" authorId="0" shapeId="0" xr:uid="{00000000-0006-0000-0700-00002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1" authorId="0" shapeId="0" xr:uid="{00000000-0006-0000-0700-00002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1" authorId="0" shapeId="0" xr:uid="{00000000-0006-0000-0700-000024010000}">
      <text>
        <r>
          <rPr>
            <sz val="8"/>
            <color indexed="81"/>
            <rFont val="Tahoma"/>
            <family val="2"/>
          </rPr>
          <t xml:space="preserve">Minimum Height/Drop is 500mm.
Maximum Height/Drop is 3000mm. </t>
        </r>
      </text>
    </comment>
    <comment ref="H31" authorId="0" shapeId="0" xr:uid="{00000000-0006-0000-0700-000025010000}">
      <text>
        <r>
          <rPr>
            <sz val="8"/>
            <color indexed="81"/>
            <rFont val="Tahoma"/>
            <family val="2"/>
          </rPr>
          <t xml:space="preserve">
Panel Quantities 
options;
2
3
4
5
6
7
9
Please note; 
Minimum Panel Width is 400mm.
Maximum Panel Width is 1000mm.</t>
        </r>
      </text>
    </comment>
    <comment ref="I31" authorId="0" shapeId="0" xr:uid="{00000000-0006-0000-0700-00002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1" authorId="0" shapeId="0" xr:uid="{00000000-0006-0000-0700-000027010000}">
      <text>
        <r>
          <rPr>
            <sz val="8"/>
            <color indexed="81"/>
            <rFont val="Tahoma"/>
            <family val="2"/>
          </rPr>
          <t>When selecting a
Corner or Bay 
Window Type, 
the 
CMB Corner WS 
or 
CMB Bay WS 
must be completed.</t>
        </r>
      </text>
    </comment>
    <comment ref="L31" authorId="0" shapeId="0" xr:uid="{00000000-0006-0000-0700-000028010000}">
      <text>
        <r>
          <rPr>
            <sz val="8"/>
            <color indexed="81"/>
            <rFont val="Tahoma"/>
            <family val="2"/>
          </rPr>
          <t>ACT 
Actual Measurements
You have made the allowances.
NAM
No Allowances Made 
The factory will make the deductions.</t>
        </r>
      </text>
    </comment>
    <comment ref="N31" authorId="0" shapeId="0" xr:uid="{00000000-0006-0000-0700-000029010000}">
      <text>
        <r>
          <rPr>
            <sz val="8"/>
            <color indexed="81"/>
            <rFont val="Tahoma"/>
            <family val="2"/>
          </rPr>
          <t>Track Colour options are;
Clear Anodised
Black
White
White Birch
Please note; 
All Blinds are supplied 
with a Clear Anodised Wand.</t>
        </r>
      </text>
    </comment>
    <comment ref="O31" authorId="0" shapeId="0" xr:uid="{00000000-0006-0000-0700-00002A010000}">
      <text>
        <r>
          <rPr>
            <sz val="8"/>
            <color indexed="81"/>
            <rFont val="Tahoma"/>
            <family val="2"/>
          </rPr>
          <t xml:space="preserve">
Finish options;
Sewn In Pocket
Bottom Rail</t>
        </r>
      </text>
    </comment>
    <comment ref="P31" authorId="0" shapeId="0" xr:uid="{00000000-0006-0000-0700-00002B010000}">
      <text>
        <r>
          <rPr>
            <sz val="8"/>
            <color indexed="81"/>
            <rFont val="Tahoma"/>
            <family val="2"/>
          </rPr>
          <t xml:space="preserve">
Bottom Rail Colour options;
Bright Silver
Clear Anodised
Metallic Black
Mocha
White
White Birch</t>
        </r>
      </text>
    </comment>
    <comment ref="Q31" authorId="0" shapeId="0" xr:uid="{00000000-0006-0000-0700-00002C010000}">
      <text>
        <r>
          <rPr>
            <sz val="8"/>
            <color indexed="81"/>
            <rFont val="Tahoma"/>
            <family val="2"/>
          </rPr>
          <t>When
 Standard or Common 
is selected the 
Pelmet Colour 
must be entered.</t>
        </r>
      </text>
    </comment>
    <comment ref="D32" authorId="0" shapeId="0" xr:uid="{00000000-0006-0000-0700-00002D010000}">
      <text>
        <r>
          <rPr>
            <sz val="8"/>
            <color indexed="81"/>
            <rFont val="Tahoma"/>
            <family val="2"/>
          </rPr>
          <t>Fabric options are;
Amalfi
Como (Blockout)
Como (Translucent)
Florence
London
Maui
Milan
Pompeii
Rome (Blockout)
Rome (Translucent)
Sunscreen</t>
        </r>
      </text>
    </comment>
    <comment ref="E32" authorId="0" shapeId="0" xr:uid="{00000000-0006-0000-0700-00002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2" authorId="0" shapeId="0" xr:uid="{00000000-0006-0000-0700-00002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2" authorId="0" shapeId="0" xr:uid="{00000000-0006-0000-0700-000030010000}">
      <text>
        <r>
          <rPr>
            <sz val="8"/>
            <color indexed="81"/>
            <rFont val="Tahoma"/>
            <family val="2"/>
          </rPr>
          <t xml:space="preserve">Minimum Height/Drop is 500mm.
Maximum Height/Drop is 3000mm. </t>
        </r>
      </text>
    </comment>
    <comment ref="H32" authorId="0" shapeId="0" xr:uid="{00000000-0006-0000-0700-000031010000}">
      <text>
        <r>
          <rPr>
            <sz val="8"/>
            <color indexed="81"/>
            <rFont val="Tahoma"/>
            <family val="2"/>
          </rPr>
          <t xml:space="preserve">
Panel Quantities 
options;
2
3
4
5
6
7
9
Please note; 
Minimum Panel Width is 400mm.
Maximum Panel Width is 1000mm.</t>
        </r>
      </text>
    </comment>
    <comment ref="I32" authorId="0" shapeId="0" xr:uid="{00000000-0006-0000-0700-00003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2" authorId="0" shapeId="0" xr:uid="{00000000-0006-0000-0700-000033010000}">
      <text>
        <r>
          <rPr>
            <sz val="8"/>
            <color indexed="81"/>
            <rFont val="Tahoma"/>
            <family val="2"/>
          </rPr>
          <t>When selecting a
Corner or Bay 
Window Type, 
the 
CMB Corner WS 
or 
CMB Bay WS 
must be completed.</t>
        </r>
      </text>
    </comment>
    <comment ref="L32" authorId="0" shapeId="0" xr:uid="{00000000-0006-0000-0700-000034010000}">
      <text>
        <r>
          <rPr>
            <sz val="8"/>
            <color indexed="81"/>
            <rFont val="Tahoma"/>
            <family val="2"/>
          </rPr>
          <t>ACT 
Actual Measurements
You have made the allowances.
NAM
No Allowances Made 
The factory will make the deductions.</t>
        </r>
      </text>
    </comment>
    <comment ref="N32" authorId="0" shapeId="0" xr:uid="{00000000-0006-0000-0700-000035010000}">
      <text>
        <r>
          <rPr>
            <sz val="8"/>
            <color indexed="81"/>
            <rFont val="Tahoma"/>
            <family val="2"/>
          </rPr>
          <t>Track Colour options are;
Clear Anodised
Black
White
White Birch
Please note; 
All Blinds are supplied 
with a Clear Anodised Wand.</t>
        </r>
      </text>
    </comment>
    <comment ref="O32" authorId="0" shapeId="0" xr:uid="{00000000-0006-0000-0700-000036010000}">
      <text>
        <r>
          <rPr>
            <sz val="8"/>
            <color indexed="81"/>
            <rFont val="Tahoma"/>
            <family val="2"/>
          </rPr>
          <t xml:space="preserve">
Finish options;
Sewn In Pocket
Bottom Rail</t>
        </r>
      </text>
    </comment>
    <comment ref="P32" authorId="0" shapeId="0" xr:uid="{00000000-0006-0000-0700-000037010000}">
      <text>
        <r>
          <rPr>
            <sz val="8"/>
            <color indexed="81"/>
            <rFont val="Tahoma"/>
            <family val="2"/>
          </rPr>
          <t xml:space="preserve">
Bottom Rail Colour options;
Bright Silver
Clear Anodised
Metallic Black
Mocha
White
White Birch</t>
        </r>
      </text>
    </comment>
    <comment ref="Q32" authorId="0" shapeId="0" xr:uid="{00000000-0006-0000-0700-000038010000}">
      <text>
        <r>
          <rPr>
            <sz val="8"/>
            <color indexed="81"/>
            <rFont val="Tahoma"/>
            <family val="2"/>
          </rPr>
          <t>When
 Standard or Common 
is selected the 
Pelmet Colour 
must be entered.</t>
        </r>
      </text>
    </comment>
    <comment ref="D33" authorId="0" shapeId="0" xr:uid="{00000000-0006-0000-0700-000039010000}">
      <text>
        <r>
          <rPr>
            <sz val="8"/>
            <color indexed="81"/>
            <rFont val="Tahoma"/>
            <family val="2"/>
          </rPr>
          <t>Fabric options are;
Amalfi
Como (Blockout)
Como (Translucent)
Florence
London
Maui
Milan
Pompeii
Rome (Blockout)
Rome (Translucent)
Sunscreen</t>
        </r>
      </text>
    </comment>
    <comment ref="E33" authorId="0" shapeId="0" xr:uid="{00000000-0006-0000-0700-00003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3" authorId="0" shapeId="0" xr:uid="{00000000-0006-0000-0700-00003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3" authorId="0" shapeId="0" xr:uid="{00000000-0006-0000-0700-00003C010000}">
      <text>
        <r>
          <rPr>
            <sz val="8"/>
            <color indexed="81"/>
            <rFont val="Tahoma"/>
            <family val="2"/>
          </rPr>
          <t xml:space="preserve">Minimum Height/Drop is 500mm.
Maximum Height/Drop is 3000mm. </t>
        </r>
      </text>
    </comment>
    <comment ref="H33" authorId="0" shapeId="0" xr:uid="{00000000-0006-0000-0700-00003D010000}">
      <text>
        <r>
          <rPr>
            <sz val="8"/>
            <color indexed="81"/>
            <rFont val="Tahoma"/>
            <family val="2"/>
          </rPr>
          <t xml:space="preserve">
Panel Quantities 
options;
2
3
4
5
6
7
9
Please note; 
Minimum Panel Width is 400mm.
Maximum Panel Width is 1000mm.</t>
        </r>
      </text>
    </comment>
    <comment ref="I33" authorId="0" shapeId="0" xr:uid="{00000000-0006-0000-0700-00003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3" authorId="0" shapeId="0" xr:uid="{00000000-0006-0000-0700-00003F010000}">
      <text>
        <r>
          <rPr>
            <sz val="8"/>
            <color indexed="81"/>
            <rFont val="Tahoma"/>
            <family val="2"/>
          </rPr>
          <t>When selecting a
Corner or Bay 
Window Type, 
the 
CMB Corner WS 
or 
CMB Bay WS 
must be completed.</t>
        </r>
      </text>
    </comment>
    <comment ref="L33" authorId="0" shapeId="0" xr:uid="{00000000-0006-0000-0700-000040010000}">
      <text>
        <r>
          <rPr>
            <sz val="8"/>
            <color indexed="81"/>
            <rFont val="Tahoma"/>
            <family val="2"/>
          </rPr>
          <t>ACT 
Actual Measurements
You have made the allowances.
NAM
No Allowances Made 
The factory will make the deductions.</t>
        </r>
      </text>
    </comment>
    <comment ref="N33" authorId="0" shapeId="0" xr:uid="{00000000-0006-0000-0700-000041010000}">
      <text>
        <r>
          <rPr>
            <sz val="8"/>
            <color indexed="81"/>
            <rFont val="Tahoma"/>
            <family val="2"/>
          </rPr>
          <t>Track Colour options are;
Clear Anodised
Black
White
White Birch
Please note; 
All Blinds are supplied 
with a Clear Anodised Wand.</t>
        </r>
      </text>
    </comment>
    <comment ref="O33" authorId="0" shapeId="0" xr:uid="{00000000-0006-0000-0700-000042010000}">
      <text>
        <r>
          <rPr>
            <sz val="8"/>
            <color indexed="81"/>
            <rFont val="Tahoma"/>
            <family val="2"/>
          </rPr>
          <t xml:space="preserve">
Finish options;
Sewn In Pocket
Bottom Rail</t>
        </r>
      </text>
    </comment>
    <comment ref="P33" authorId="0" shapeId="0" xr:uid="{00000000-0006-0000-0700-000043010000}">
      <text>
        <r>
          <rPr>
            <sz val="8"/>
            <color indexed="81"/>
            <rFont val="Tahoma"/>
            <family val="2"/>
          </rPr>
          <t xml:space="preserve">
Bottom Rail Colour options;
Bright Silver
Clear Anodised
Metallic Black
Mocha
White
White Birch</t>
        </r>
      </text>
    </comment>
    <comment ref="Q33" authorId="0" shapeId="0" xr:uid="{00000000-0006-0000-0700-000044010000}">
      <text>
        <r>
          <rPr>
            <sz val="8"/>
            <color indexed="81"/>
            <rFont val="Tahoma"/>
            <family val="2"/>
          </rPr>
          <t>When
 Standard or Common 
is selected the 
Pelmet Colour 
must be entered.</t>
        </r>
      </text>
    </comment>
    <comment ref="D34" authorId="0" shapeId="0" xr:uid="{00000000-0006-0000-0700-000045010000}">
      <text>
        <r>
          <rPr>
            <sz val="8"/>
            <color indexed="81"/>
            <rFont val="Tahoma"/>
            <family val="2"/>
          </rPr>
          <t>Fabric options are;
Amalfi
Como (Blockout)
Como (Translucent)
Florence
London
Maui
Milan
Pompeii
Rome (Blockout)
Rome (Translucent)
Sunscreen</t>
        </r>
      </text>
    </comment>
    <comment ref="E34" authorId="0" shapeId="0" xr:uid="{00000000-0006-0000-0700-00004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4" authorId="0" shapeId="0" xr:uid="{00000000-0006-0000-0700-00004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4" authorId="0" shapeId="0" xr:uid="{00000000-0006-0000-0700-000048010000}">
      <text>
        <r>
          <rPr>
            <sz val="8"/>
            <color indexed="81"/>
            <rFont val="Tahoma"/>
            <family val="2"/>
          </rPr>
          <t xml:space="preserve">Minimum Height/Drop is 500mm.
Maximum Height/Drop is 3000mm. </t>
        </r>
      </text>
    </comment>
    <comment ref="H34" authorId="0" shapeId="0" xr:uid="{00000000-0006-0000-0700-000049010000}">
      <text>
        <r>
          <rPr>
            <sz val="8"/>
            <color indexed="81"/>
            <rFont val="Tahoma"/>
            <family val="2"/>
          </rPr>
          <t xml:space="preserve">
Panel Quantities 
options;
2
3
4
5
6
7
9
Please note; 
Minimum Panel Width is 400mm.
Maximum Panel Width is 1000mm.</t>
        </r>
      </text>
    </comment>
    <comment ref="I34" authorId="0" shapeId="0" xr:uid="{00000000-0006-0000-0700-00004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4" authorId="0" shapeId="0" xr:uid="{00000000-0006-0000-0700-00004B010000}">
      <text>
        <r>
          <rPr>
            <sz val="8"/>
            <color indexed="81"/>
            <rFont val="Tahoma"/>
            <family val="2"/>
          </rPr>
          <t>When selecting a
Corner or Bay 
Window Type, 
the 
CMB Corner WS 
or 
CMB Bay WS 
must be completed.</t>
        </r>
      </text>
    </comment>
    <comment ref="L34" authorId="0" shapeId="0" xr:uid="{00000000-0006-0000-0700-00004C010000}">
      <text>
        <r>
          <rPr>
            <sz val="8"/>
            <color indexed="81"/>
            <rFont val="Tahoma"/>
            <family val="2"/>
          </rPr>
          <t>ACT 
Actual Measurements
You have made the allowances.
NAM
No Allowances Made 
The factory will make the deductions.</t>
        </r>
      </text>
    </comment>
    <comment ref="N34" authorId="0" shapeId="0" xr:uid="{00000000-0006-0000-0700-00004D010000}">
      <text>
        <r>
          <rPr>
            <sz val="8"/>
            <color indexed="81"/>
            <rFont val="Tahoma"/>
            <family val="2"/>
          </rPr>
          <t>Track Colour options are;
Clear Anodised
Black
White
White Birch
Please note; 
All Blinds are supplied 
with a Clear Anodised Wand.</t>
        </r>
      </text>
    </comment>
    <comment ref="O34" authorId="0" shapeId="0" xr:uid="{00000000-0006-0000-0700-00004E010000}">
      <text>
        <r>
          <rPr>
            <sz val="8"/>
            <color indexed="81"/>
            <rFont val="Tahoma"/>
            <family val="2"/>
          </rPr>
          <t xml:space="preserve">
Finish options;
Sewn In Pocket
Bottom Rail</t>
        </r>
      </text>
    </comment>
    <comment ref="P34" authorId="0" shapeId="0" xr:uid="{00000000-0006-0000-0700-00004F010000}">
      <text>
        <r>
          <rPr>
            <sz val="8"/>
            <color indexed="81"/>
            <rFont val="Tahoma"/>
            <family val="2"/>
          </rPr>
          <t xml:space="preserve">
Bottom Rail Colour options;
Bright Silver
Clear Anodised
Metallic Black
Mocha
White
White Birch</t>
        </r>
      </text>
    </comment>
    <comment ref="Q34" authorId="0" shapeId="0" xr:uid="{00000000-0006-0000-0700-000050010000}">
      <text>
        <r>
          <rPr>
            <sz val="8"/>
            <color indexed="81"/>
            <rFont val="Tahoma"/>
            <family val="2"/>
          </rPr>
          <t>When
 Standard or Common 
is selected the 
Pelmet Colour 
must be entered.</t>
        </r>
      </text>
    </comment>
    <comment ref="D35" authorId="0" shapeId="0" xr:uid="{00000000-0006-0000-0700-000051010000}">
      <text>
        <r>
          <rPr>
            <sz val="8"/>
            <color indexed="81"/>
            <rFont val="Tahoma"/>
            <family val="2"/>
          </rPr>
          <t>Fabric options are;
Amalfi
Como (Blockout)
Como (Translucent)
Florence
London
Maui
Milan
Pompeii
Rome (Blockout)
Rome (Translucent)
Sunscreen</t>
        </r>
      </text>
    </comment>
    <comment ref="E35" authorId="0" shapeId="0" xr:uid="{00000000-0006-0000-0700-00005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5" authorId="0" shapeId="0" xr:uid="{00000000-0006-0000-0700-00005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5" authorId="0" shapeId="0" xr:uid="{00000000-0006-0000-0700-000054010000}">
      <text>
        <r>
          <rPr>
            <sz val="8"/>
            <color indexed="81"/>
            <rFont val="Tahoma"/>
            <family val="2"/>
          </rPr>
          <t xml:space="preserve">Minimum Height/Drop is 500mm.
Maximum Height/Drop is 3000mm. </t>
        </r>
      </text>
    </comment>
    <comment ref="H35" authorId="0" shapeId="0" xr:uid="{00000000-0006-0000-0700-000055010000}">
      <text>
        <r>
          <rPr>
            <sz val="8"/>
            <color indexed="81"/>
            <rFont val="Tahoma"/>
            <family val="2"/>
          </rPr>
          <t xml:space="preserve">
Panel Quantities 
options;
2
3
4
5
6
7
9
Please note; 
Minimum Panel Width is 400mm.
Maximum Panel Width is 1000mm.</t>
        </r>
      </text>
    </comment>
    <comment ref="I35" authorId="0" shapeId="0" xr:uid="{00000000-0006-0000-0700-00005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5" authorId="0" shapeId="0" xr:uid="{00000000-0006-0000-0700-000057010000}">
      <text>
        <r>
          <rPr>
            <sz val="8"/>
            <color indexed="81"/>
            <rFont val="Tahoma"/>
            <family val="2"/>
          </rPr>
          <t>When selecting a
Corner or Bay 
Window Type, 
the 
CMB Corner WS 
or 
CMB Bay WS 
must be completed.</t>
        </r>
      </text>
    </comment>
    <comment ref="L35" authorId="0" shapeId="0" xr:uid="{00000000-0006-0000-0700-000058010000}">
      <text>
        <r>
          <rPr>
            <sz val="8"/>
            <color indexed="81"/>
            <rFont val="Tahoma"/>
            <family val="2"/>
          </rPr>
          <t>ACT 
Actual Measurements
You have made the allowances.
NAM
No Allowances Made 
The factory will make the deductions.</t>
        </r>
      </text>
    </comment>
    <comment ref="N35" authorId="0" shapeId="0" xr:uid="{00000000-0006-0000-0700-000059010000}">
      <text>
        <r>
          <rPr>
            <sz val="8"/>
            <color indexed="81"/>
            <rFont val="Tahoma"/>
            <family val="2"/>
          </rPr>
          <t>Track Colour options are;
Clear Anodised
Black
White
White Birch
Please note; 
All Blinds are supplied 
with a Clear Anodised Wand.</t>
        </r>
      </text>
    </comment>
    <comment ref="O35" authorId="0" shapeId="0" xr:uid="{00000000-0006-0000-0700-00005A010000}">
      <text>
        <r>
          <rPr>
            <sz val="8"/>
            <color indexed="81"/>
            <rFont val="Tahoma"/>
            <family val="2"/>
          </rPr>
          <t xml:space="preserve">
Finish options;
Sewn In Pocket
Bottom Rail</t>
        </r>
      </text>
    </comment>
    <comment ref="P35" authorId="0" shapeId="0" xr:uid="{00000000-0006-0000-0700-00005B010000}">
      <text>
        <r>
          <rPr>
            <sz val="8"/>
            <color indexed="81"/>
            <rFont val="Tahoma"/>
            <family val="2"/>
          </rPr>
          <t xml:space="preserve">
Bottom Rail Colour options;
Bright Silver
Clear Anodised
Metallic Black
Mocha
White
White Birch</t>
        </r>
      </text>
    </comment>
    <comment ref="Q35" authorId="0" shapeId="0" xr:uid="{00000000-0006-0000-0700-00005C010000}">
      <text>
        <r>
          <rPr>
            <sz val="8"/>
            <color indexed="81"/>
            <rFont val="Tahoma"/>
            <family val="2"/>
          </rPr>
          <t>When
 Standard or Common 
is selected the 
Pelmet Colour 
must be entered.</t>
        </r>
      </text>
    </comment>
    <comment ref="D36" authorId="0" shapeId="0" xr:uid="{00000000-0006-0000-0700-00005D010000}">
      <text>
        <r>
          <rPr>
            <sz val="8"/>
            <color indexed="81"/>
            <rFont val="Tahoma"/>
            <family val="2"/>
          </rPr>
          <t>Fabric options are;
Amalfi
Como (Blockout)
Como (Translucent)
Florence
London
Maui
Milan
Pompeii
Rome (Blockout)
Rome (Translucent)
Sunscreen</t>
        </r>
      </text>
    </comment>
    <comment ref="E36" authorId="0" shapeId="0" xr:uid="{00000000-0006-0000-0700-00005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6" authorId="0" shapeId="0" xr:uid="{00000000-0006-0000-0700-00005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6" authorId="0" shapeId="0" xr:uid="{00000000-0006-0000-0700-000060010000}">
      <text>
        <r>
          <rPr>
            <sz val="8"/>
            <color indexed="81"/>
            <rFont val="Tahoma"/>
            <family val="2"/>
          </rPr>
          <t xml:space="preserve">Minimum Height/Drop is 500mm.
Maximum Height/Drop is 3000mm. </t>
        </r>
      </text>
    </comment>
    <comment ref="H36" authorId="0" shapeId="0" xr:uid="{00000000-0006-0000-0700-000061010000}">
      <text>
        <r>
          <rPr>
            <sz val="8"/>
            <color indexed="81"/>
            <rFont val="Tahoma"/>
            <family val="2"/>
          </rPr>
          <t xml:space="preserve">
Panel Quantities 
options;
2
3
4
5
6
7
9
Please note; 
Minimum Panel Width is 400mm.
Maximum Panel Width is 1000mm.</t>
        </r>
      </text>
    </comment>
    <comment ref="I36" authorId="0" shapeId="0" xr:uid="{00000000-0006-0000-0700-00006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6" authorId="0" shapeId="0" xr:uid="{00000000-0006-0000-0700-000063010000}">
      <text>
        <r>
          <rPr>
            <sz val="8"/>
            <color indexed="81"/>
            <rFont val="Tahoma"/>
            <family val="2"/>
          </rPr>
          <t>When selecting a
Corner or Bay 
Window Type, 
the 
CMB Corner WS 
or 
CMB Bay WS 
must be completed.</t>
        </r>
      </text>
    </comment>
    <comment ref="L36" authorId="0" shapeId="0" xr:uid="{00000000-0006-0000-0700-000064010000}">
      <text>
        <r>
          <rPr>
            <sz val="8"/>
            <color indexed="81"/>
            <rFont val="Tahoma"/>
            <family val="2"/>
          </rPr>
          <t>ACT 
Actual Measurements
You have made the allowances.
NAM
No Allowances Made 
The factory will make the deductions.</t>
        </r>
      </text>
    </comment>
    <comment ref="N36" authorId="0" shapeId="0" xr:uid="{00000000-0006-0000-0700-000065010000}">
      <text>
        <r>
          <rPr>
            <sz val="8"/>
            <color indexed="81"/>
            <rFont val="Tahoma"/>
            <family val="2"/>
          </rPr>
          <t>Track Colour options are;
Clear Anodised
Black
White
White Birch
Please note; 
All Blinds are supplied 
with a Clear Anodised Wand.</t>
        </r>
      </text>
    </comment>
    <comment ref="O36" authorId="0" shapeId="0" xr:uid="{00000000-0006-0000-0700-000066010000}">
      <text>
        <r>
          <rPr>
            <sz val="8"/>
            <color indexed="81"/>
            <rFont val="Tahoma"/>
            <family val="2"/>
          </rPr>
          <t xml:space="preserve">
Finish options;
Sewn In Pocket
Bottom Rail</t>
        </r>
      </text>
    </comment>
    <comment ref="P36" authorId="0" shapeId="0" xr:uid="{00000000-0006-0000-0700-000067010000}">
      <text>
        <r>
          <rPr>
            <sz val="8"/>
            <color indexed="81"/>
            <rFont val="Tahoma"/>
            <family val="2"/>
          </rPr>
          <t xml:space="preserve">
Bottom Rail Colour options;
Bright Silver
Clear Anodised
Metallic Black
Mocha
White
White Birch</t>
        </r>
      </text>
    </comment>
    <comment ref="Q36" authorId="0" shapeId="0" xr:uid="{00000000-0006-0000-0700-000068010000}">
      <text>
        <r>
          <rPr>
            <sz val="8"/>
            <color indexed="81"/>
            <rFont val="Tahoma"/>
            <family val="2"/>
          </rPr>
          <t>When
 Standard or Common 
is selected the 
Pelmet Colour 
must be entered.</t>
        </r>
      </text>
    </comment>
    <comment ref="D37" authorId="0" shapeId="0" xr:uid="{00000000-0006-0000-0700-000069010000}">
      <text>
        <r>
          <rPr>
            <sz val="8"/>
            <color indexed="81"/>
            <rFont val="Tahoma"/>
            <family val="2"/>
          </rPr>
          <t>Fabric options are;
Amalfi
Como (Blockout)
Como (Translucent)
Florence
London
Maui
Milan
Pompeii
Rome (Blockout)
Rome (Translucent)
Sunscreen</t>
        </r>
      </text>
    </comment>
    <comment ref="E37" authorId="0" shapeId="0" xr:uid="{00000000-0006-0000-0700-00006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7" authorId="0" shapeId="0" xr:uid="{00000000-0006-0000-0700-00006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7" authorId="0" shapeId="0" xr:uid="{00000000-0006-0000-0700-00006C010000}">
      <text>
        <r>
          <rPr>
            <sz val="8"/>
            <color indexed="81"/>
            <rFont val="Tahoma"/>
            <family val="2"/>
          </rPr>
          <t xml:space="preserve">Minimum Height/Drop is 500mm.
Maximum Height/Drop is 3000mm. </t>
        </r>
      </text>
    </comment>
    <comment ref="H37" authorId="0" shapeId="0" xr:uid="{00000000-0006-0000-0700-00006D010000}">
      <text>
        <r>
          <rPr>
            <sz val="8"/>
            <color indexed="81"/>
            <rFont val="Tahoma"/>
            <family val="2"/>
          </rPr>
          <t xml:space="preserve">
Panel Quantities 
options;
2
3
4
5
6
7
9
Please note; 
Minimum Panel Width is 400mm.
Maximum Panel Width is 1000mm.</t>
        </r>
      </text>
    </comment>
    <comment ref="I37" authorId="0" shapeId="0" xr:uid="{00000000-0006-0000-0700-00006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7" authorId="0" shapeId="0" xr:uid="{00000000-0006-0000-0700-00006F010000}">
      <text>
        <r>
          <rPr>
            <sz val="8"/>
            <color indexed="81"/>
            <rFont val="Tahoma"/>
            <family val="2"/>
          </rPr>
          <t>When selecting a
Corner or Bay 
Window Type, 
the 
CMB Corner WS 
or 
CMB Bay WS 
must be completed.</t>
        </r>
      </text>
    </comment>
    <comment ref="L37" authorId="0" shapeId="0" xr:uid="{00000000-0006-0000-0700-000070010000}">
      <text>
        <r>
          <rPr>
            <sz val="8"/>
            <color indexed="81"/>
            <rFont val="Tahoma"/>
            <family val="2"/>
          </rPr>
          <t>ACT 
Actual Measurements
You have made the allowances.
NAM
No Allowances Made 
The factory will make the deductions.</t>
        </r>
      </text>
    </comment>
    <comment ref="N37" authorId="0" shapeId="0" xr:uid="{00000000-0006-0000-0700-000071010000}">
      <text>
        <r>
          <rPr>
            <sz val="8"/>
            <color indexed="81"/>
            <rFont val="Tahoma"/>
            <family val="2"/>
          </rPr>
          <t>Track Colour options are;
Clear Anodised
Black
White
White Birch
Please note; 
All Blinds are supplied 
with a Clear Anodised Wand.</t>
        </r>
      </text>
    </comment>
    <comment ref="O37" authorId="0" shapeId="0" xr:uid="{00000000-0006-0000-0700-000072010000}">
      <text>
        <r>
          <rPr>
            <sz val="8"/>
            <color indexed="81"/>
            <rFont val="Tahoma"/>
            <family val="2"/>
          </rPr>
          <t xml:space="preserve">
Finish options;
Sewn In Pocket
Bottom Rail</t>
        </r>
      </text>
    </comment>
    <comment ref="P37" authorId="0" shapeId="0" xr:uid="{00000000-0006-0000-0700-000073010000}">
      <text>
        <r>
          <rPr>
            <sz val="8"/>
            <color indexed="81"/>
            <rFont val="Tahoma"/>
            <family val="2"/>
          </rPr>
          <t xml:space="preserve">
Bottom Rail Colour options;
Bright Silver
Clear Anodised
Metallic Black
Mocha
White
White Birch</t>
        </r>
      </text>
    </comment>
    <comment ref="Q37" authorId="0" shapeId="0" xr:uid="{00000000-0006-0000-0700-000074010000}">
      <text>
        <r>
          <rPr>
            <sz val="8"/>
            <color indexed="81"/>
            <rFont val="Tahoma"/>
            <family val="2"/>
          </rPr>
          <t>When
 Standard or Common 
is selected the 
Pelmet Colour 
must be entered.</t>
        </r>
      </text>
    </comment>
    <comment ref="D38" authorId="0" shapeId="0" xr:uid="{00000000-0006-0000-0700-000075010000}">
      <text>
        <r>
          <rPr>
            <sz val="8"/>
            <color indexed="81"/>
            <rFont val="Tahoma"/>
            <family val="2"/>
          </rPr>
          <t>Fabric options are;
Amalfi
Como (Blockout)
Como (Translucent)
Florence
London
Maui
Milan
Pompeii
Rome (Blockout)
Rome (Translucent)
Sunscreen</t>
        </r>
      </text>
    </comment>
    <comment ref="E38" authorId="0" shapeId="0" xr:uid="{00000000-0006-0000-0700-00007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8" authorId="0" shapeId="0" xr:uid="{00000000-0006-0000-0700-00007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8" authorId="0" shapeId="0" xr:uid="{00000000-0006-0000-0700-000078010000}">
      <text>
        <r>
          <rPr>
            <sz val="8"/>
            <color indexed="81"/>
            <rFont val="Tahoma"/>
            <family val="2"/>
          </rPr>
          <t xml:space="preserve">Minimum Height/Drop is 500mm.
Maximum Height/Drop is 3000mm. </t>
        </r>
      </text>
    </comment>
    <comment ref="H38" authorId="0" shapeId="0" xr:uid="{00000000-0006-0000-0700-000079010000}">
      <text>
        <r>
          <rPr>
            <sz val="8"/>
            <color indexed="81"/>
            <rFont val="Tahoma"/>
            <family val="2"/>
          </rPr>
          <t xml:space="preserve">
Panel Quantities 
options;
2
3
4
5
6
7
9
Please note; 
Minimum Panel Width is 400mm.
Maximum Panel Width is 1000mm.</t>
        </r>
      </text>
    </comment>
    <comment ref="I38" authorId="0" shapeId="0" xr:uid="{00000000-0006-0000-0700-00007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8" authorId="0" shapeId="0" xr:uid="{00000000-0006-0000-0700-00007B010000}">
      <text>
        <r>
          <rPr>
            <sz val="8"/>
            <color indexed="81"/>
            <rFont val="Tahoma"/>
            <family val="2"/>
          </rPr>
          <t>When selecting a
Corner or Bay 
Window Type, 
the 
CMB Corner WS 
or 
CMB Bay WS 
must be completed.</t>
        </r>
      </text>
    </comment>
    <comment ref="L38" authorId="0" shapeId="0" xr:uid="{00000000-0006-0000-0700-00007C010000}">
      <text>
        <r>
          <rPr>
            <sz val="8"/>
            <color indexed="81"/>
            <rFont val="Tahoma"/>
            <family val="2"/>
          </rPr>
          <t>ACT 
Actual Measurements
You have made the allowances.
NAM
No Allowances Made 
The factory will make the deductions.</t>
        </r>
      </text>
    </comment>
    <comment ref="N38" authorId="0" shapeId="0" xr:uid="{00000000-0006-0000-0700-00007D010000}">
      <text>
        <r>
          <rPr>
            <sz val="8"/>
            <color indexed="81"/>
            <rFont val="Tahoma"/>
            <family val="2"/>
          </rPr>
          <t>Track Colour options are;
Clear Anodised
Black
White
White Birch
Please note; 
All Blinds are supplied 
with a Clear Anodised Wand.</t>
        </r>
      </text>
    </comment>
    <comment ref="O38" authorId="0" shapeId="0" xr:uid="{00000000-0006-0000-0700-00007E010000}">
      <text>
        <r>
          <rPr>
            <sz val="8"/>
            <color indexed="81"/>
            <rFont val="Tahoma"/>
            <family val="2"/>
          </rPr>
          <t xml:space="preserve">
Finish options;
Sewn In Pocket
Bottom Rail</t>
        </r>
      </text>
    </comment>
    <comment ref="P38" authorId="0" shapeId="0" xr:uid="{00000000-0006-0000-0700-00007F010000}">
      <text>
        <r>
          <rPr>
            <sz val="8"/>
            <color indexed="81"/>
            <rFont val="Tahoma"/>
            <family val="2"/>
          </rPr>
          <t xml:space="preserve">
Bottom Rail Colour options;
Bright Silver
Clear Anodised
Metallic Black
Mocha
White
White Birch</t>
        </r>
      </text>
    </comment>
    <comment ref="Q38" authorId="0" shapeId="0" xr:uid="{00000000-0006-0000-0700-000080010000}">
      <text>
        <r>
          <rPr>
            <sz val="8"/>
            <color indexed="81"/>
            <rFont val="Tahoma"/>
            <family val="2"/>
          </rPr>
          <t>When
 Standard or Common 
is selected the 
Pelmet Colour 
must be entered.</t>
        </r>
      </text>
    </comment>
    <comment ref="D39" authorId="0" shapeId="0" xr:uid="{00000000-0006-0000-0700-000081010000}">
      <text>
        <r>
          <rPr>
            <sz val="8"/>
            <color indexed="81"/>
            <rFont val="Tahoma"/>
            <family val="2"/>
          </rPr>
          <t>Fabric options are;
Amalfi
Como (Blockout)
Como (Translucent)
Florence
London
Maui
Milan
Pompeii
Rome (Blockout)
Rome (Translucent)
Sunscreen</t>
        </r>
      </text>
    </comment>
    <comment ref="E39" authorId="0" shapeId="0" xr:uid="{00000000-0006-0000-0700-00008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9" authorId="0" shapeId="0" xr:uid="{00000000-0006-0000-0700-00008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9" authorId="0" shapeId="0" xr:uid="{00000000-0006-0000-0700-000084010000}">
      <text>
        <r>
          <rPr>
            <sz val="8"/>
            <color indexed="81"/>
            <rFont val="Tahoma"/>
            <family val="2"/>
          </rPr>
          <t xml:space="preserve">Minimum Height/Drop is 500mm.
Maximum Height/Drop is 3000mm. </t>
        </r>
      </text>
    </comment>
    <comment ref="H39" authorId="0" shapeId="0" xr:uid="{00000000-0006-0000-0700-000085010000}">
      <text>
        <r>
          <rPr>
            <sz val="8"/>
            <color indexed="81"/>
            <rFont val="Tahoma"/>
            <family val="2"/>
          </rPr>
          <t xml:space="preserve">
Panel Quantities 
options;
2
3
4
5
6
7
9
Please note; 
Minimum Panel Width is 400mm.
Maximum Panel Width is 1000mm.</t>
        </r>
      </text>
    </comment>
    <comment ref="I39" authorId="0" shapeId="0" xr:uid="{00000000-0006-0000-0700-00008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9" authorId="0" shapeId="0" xr:uid="{00000000-0006-0000-0700-000087010000}">
      <text>
        <r>
          <rPr>
            <sz val="8"/>
            <color indexed="81"/>
            <rFont val="Tahoma"/>
            <family val="2"/>
          </rPr>
          <t>When selecting a
Corner or Bay 
Window Type, 
the 
CMB Corner WS 
or 
CMB Bay WS 
must be completed.</t>
        </r>
      </text>
    </comment>
    <comment ref="L39" authorId="0" shapeId="0" xr:uid="{00000000-0006-0000-0700-000088010000}">
      <text>
        <r>
          <rPr>
            <sz val="8"/>
            <color indexed="81"/>
            <rFont val="Tahoma"/>
            <family val="2"/>
          </rPr>
          <t>ACT 
Actual Measurements
You have made the allowances.
NAM
No Allowances Made 
The factory will make the deductions.</t>
        </r>
      </text>
    </comment>
    <comment ref="N39" authorId="0" shapeId="0" xr:uid="{00000000-0006-0000-0700-000089010000}">
      <text>
        <r>
          <rPr>
            <sz val="8"/>
            <color indexed="81"/>
            <rFont val="Tahoma"/>
            <family val="2"/>
          </rPr>
          <t>Track Colour options are;
Clear Anodised
Black
White
White Birch
Please note; 
All Blinds are supplied 
with a Clear Anodised Wand.</t>
        </r>
      </text>
    </comment>
    <comment ref="O39" authorId="0" shapeId="0" xr:uid="{00000000-0006-0000-0700-00008A010000}">
      <text>
        <r>
          <rPr>
            <sz val="8"/>
            <color indexed="81"/>
            <rFont val="Tahoma"/>
            <family val="2"/>
          </rPr>
          <t xml:space="preserve">
Finish options;
Sewn In Pocket
Bottom Rail</t>
        </r>
      </text>
    </comment>
    <comment ref="P39" authorId="0" shapeId="0" xr:uid="{00000000-0006-0000-0700-00008B010000}">
      <text>
        <r>
          <rPr>
            <sz val="8"/>
            <color indexed="81"/>
            <rFont val="Tahoma"/>
            <family val="2"/>
          </rPr>
          <t xml:space="preserve">
Bottom Rail Colour options;
Bright Silver
Clear Anodised
Metallic Black
Mocha
White
White Birch</t>
        </r>
      </text>
    </comment>
    <comment ref="Q39" authorId="0" shapeId="0" xr:uid="{00000000-0006-0000-0700-00008C010000}">
      <text>
        <r>
          <rPr>
            <sz val="8"/>
            <color indexed="81"/>
            <rFont val="Tahoma"/>
            <family val="2"/>
          </rPr>
          <t>When
 Standard or Common 
is selected the 
Pelmet Colour 
must be entered.</t>
        </r>
      </text>
    </comment>
    <comment ref="D40" authorId="0" shapeId="0" xr:uid="{00000000-0006-0000-0700-00008D010000}">
      <text>
        <r>
          <rPr>
            <sz val="8"/>
            <color indexed="81"/>
            <rFont val="Tahoma"/>
            <family val="2"/>
          </rPr>
          <t>Fabric options are;
Amalfi
Como (Blockout)
Como (Translucent)
Florence
London
Maui
Milan
Pompeii
Rome (Blockout)
Rome (Translucent)
Sunscreen</t>
        </r>
      </text>
    </comment>
    <comment ref="E40" authorId="0" shapeId="0" xr:uid="{00000000-0006-0000-0700-00008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0" authorId="0" shapeId="0" xr:uid="{00000000-0006-0000-0700-00008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0" authorId="0" shapeId="0" xr:uid="{00000000-0006-0000-0700-000090010000}">
      <text>
        <r>
          <rPr>
            <sz val="8"/>
            <color indexed="81"/>
            <rFont val="Tahoma"/>
            <family val="2"/>
          </rPr>
          <t xml:space="preserve">Minimum Height/Drop is 500mm.
Maximum Height/Drop is 3000mm. </t>
        </r>
      </text>
    </comment>
    <comment ref="H40" authorId="0" shapeId="0" xr:uid="{00000000-0006-0000-0700-000091010000}">
      <text>
        <r>
          <rPr>
            <sz val="8"/>
            <color indexed="81"/>
            <rFont val="Tahoma"/>
            <family val="2"/>
          </rPr>
          <t xml:space="preserve">
Panel Quantities 
options;
2
3
4
5
6
7
9
Please note; 
Minimum Panel Width is 400mm.
Maximum Panel Width is 1000mm.</t>
        </r>
      </text>
    </comment>
    <comment ref="I40" authorId="0" shapeId="0" xr:uid="{00000000-0006-0000-0700-00009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0" authorId="0" shapeId="0" xr:uid="{00000000-0006-0000-0700-000093010000}">
      <text>
        <r>
          <rPr>
            <sz val="8"/>
            <color indexed="81"/>
            <rFont val="Tahoma"/>
            <family val="2"/>
          </rPr>
          <t>When selecting a
Corner or Bay 
Window Type, 
the 
CMB Corner WS 
or 
CMB Bay WS 
must be completed.</t>
        </r>
      </text>
    </comment>
    <comment ref="L40" authorId="0" shapeId="0" xr:uid="{00000000-0006-0000-0700-000094010000}">
      <text>
        <r>
          <rPr>
            <sz val="8"/>
            <color indexed="81"/>
            <rFont val="Tahoma"/>
            <family val="2"/>
          </rPr>
          <t>ACT 
Actual Measurements
You have made the allowances.
NAM
No Allowances Made 
The factory will make the deductions.</t>
        </r>
      </text>
    </comment>
    <comment ref="N40" authorId="0" shapeId="0" xr:uid="{00000000-0006-0000-0700-000095010000}">
      <text>
        <r>
          <rPr>
            <sz val="8"/>
            <color indexed="81"/>
            <rFont val="Tahoma"/>
            <family val="2"/>
          </rPr>
          <t>Track Colour options are;
Clear Anodised
Black
White
White Birch
Please note; 
All Blinds are supplied 
with a Clear Anodised Wand.</t>
        </r>
      </text>
    </comment>
    <comment ref="O40" authorId="0" shapeId="0" xr:uid="{00000000-0006-0000-0700-000096010000}">
      <text>
        <r>
          <rPr>
            <sz val="8"/>
            <color indexed="81"/>
            <rFont val="Tahoma"/>
            <family val="2"/>
          </rPr>
          <t xml:space="preserve">
Finish options;
Sewn In Pocket
Bottom Rail</t>
        </r>
      </text>
    </comment>
    <comment ref="P40" authorId="0" shapeId="0" xr:uid="{00000000-0006-0000-0700-000097010000}">
      <text>
        <r>
          <rPr>
            <sz val="8"/>
            <color indexed="81"/>
            <rFont val="Tahoma"/>
            <family val="2"/>
          </rPr>
          <t xml:space="preserve">
Bottom Rail Colour options;
Bright Silver
Clear Anodised
Metallic Black
Mocha
White
White Birch</t>
        </r>
      </text>
    </comment>
    <comment ref="Q40" authorId="0" shapeId="0" xr:uid="{00000000-0006-0000-0700-000098010000}">
      <text>
        <r>
          <rPr>
            <sz val="8"/>
            <color indexed="81"/>
            <rFont val="Tahoma"/>
            <family val="2"/>
          </rPr>
          <t>When
 Standard or Common 
is selected the 
Pelmet Colour 
must be entered.</t>
        </r>
      </text>
    </comment>
    <comment ref="D41" authorId="0" shapeId="0" xr:uid="{00000000-0006-0000-0700-000099010000}">
      <text>
        <r>
          <rPr>
            <sz val="8"/>
            <color indexed="81"/>
            <rFont val="Tahoma"/>
            <family val="2"/>
          </rPr>
          <t>Fabric options are;
Amalfi
Como (Blockout)
Como (Translucent)
Florence
London
Maui
Milan
Pompeii
Rome (Blockout)
Rome (Translucent)
Sunscreen</t>
        </r>
      </text>
    </comment>
    <comment ref="E41" authorId="0" shapeId="0" xr:uid="{00000000-0006-0000-0700-00009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1" authorId="0" shapeId="0" xr:uid="{00000000-0006-0000-0700-00009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1" authorId="0" shapeId="0" xr:uid="{00000000-0006-0000-0700-00009C010000}">
      <text>
        <r>
          <rPr>
            <sz val="8"/>
            <color indexed="81"/>
            <rFont val="Tahoma"/>
            <family val="2"/>
          </rPr>
          <t xml:space="preserve">Minimum Height/Drop is 500mm.
Maximum Height/Drop is 3000mm. </t>
        </r>
      </text>
    </comment>
    <comment ref="H41" authorId="0" shapeId="0" xr:uid="{00000000-0006-0000-0700-00009D010000}">
      <text>
        <r>
          <rPr>
            <sz val="8"/>
            <color indexed="81"/>
            <rFont val="Tahoma"/>
            <family val="2"/>
          </rPr>
          <t xml:space="preserve">
Panel Quantities 
options;
2
3
4
5
6
7
9
Please note; 
Minimum Panel Width is 400mm.
Maximum Panel Width is 1000mm.</t>
        </r>
      </text>
    </comment>
    <comment ref="I41" authorId="0" shapeId="0" xr:uid="{00000000-0006-0000-0700-00009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1" authorId="0" shapeId="0" xr:uid="{00000000-0006-0000-0700-00009F010000}">
      <text>
        <r>
          <rPr>
            <sz val="8"/>
            <color indexed="81"/>
            <rFont val="Tahoma"/>
            <family val="2"/>
          </rPr>
          <t>When selecting a
Corner or Bay 
Window Type, 
the 
CMB Corner WS 
or 
CMB Bay WS 
must be completed.</t>
        </r>
      </text>
    </comment>
    <comment ref="L41" authorId="0" shapeId="0" xr:uid="{00000000-0006-0000-0700-0000A0010000}">
      <text>
        <r>
          <rPr>
            <sz val="8"/>
            <color indexed="81"/>
            <rFont val="Tahoma"/>
            <family val="2"/>
          </rPr>
          <t>ACT 
Actual Measurements
You have made the allowances.
NAM
No Allowances Made 
The factory will make the deductions.</t>
        </r>
      </text>
    </comment>
    <comment ref="N41" authorId="0" shapeId="0" xr:uid="{00000000-0006-0000-0700-0000A1010000}">
      <text>
        <r>
          <rPr>
            <sz val="8"/>
            <color indexed="81"/>
            <rFont val="Tahoma"/>
            <family val="2"/>
          </rPr>
          <t>Track Colour options are;
Clear Anodised
Black
White
White Birch
Please note; 
All Blinds are supplied 
with a Clear Anodised Wand.</t>
        </r>
      </text>
    </comment>
    <comment ref="O41" authorId="0" shapeId="0" xr:uid="{00000000-0006-0000-0700-0000A2010000}">
      <text>
        <r>
          <rPr>
            <sz val="8"/>
            <color indexed="81"/>
            <rFont val="Tahoma"/>
            <family val="2"/>
          </rPr>
          <t xml:space="preserve">
Finish options;
Sewn In Pocket
Bottom Rail</t>
        </r>
      </text>
    </comment>
    <comment ref="P41" authorId="0" shapeId="0" xr:uid="{00000000-0006-0000-0700-0000A3010000}">
      <text>
        <r>
          <rPr>
            <sz val="8"/>
            <color indexed="81"/>
            <rFont val="Tahoma"/>
            <family val="2"/>
          </rPr>
          <t xml:space="preserve">
Bottom Rail Colour options;
Bright Silver
Clear Anodised
Metallic Black
Mocha
White
White Birch</t>
        </r>
      </text>
    </comment>
    <comment ref="Q41" authorId="0" shapeId="0" xr:uid="{00000000-0006-0000-0700-0000A4010000}">
      <text>
        <r>
          <rPr>
            <sz val="8"/>
            <color indexed="81"/>
            <rFont val="Tahoma"/>
            <family val="2"/>
          </rPr>
          <t>When
 Standard or Common 
is selected the 
Pelmet Colour 
must be entered.</t>
        </r>
      </text>
    </comment>
    <comment ref="D42" authorId="0" shapeId="0" xr:uid="{00000000-0006-0000-0700-0000A5010000}">
      <text>
        <r>
          <rPr>
            <sz val="8"/>
            <color indexed="81"/>
            <rFont val="Tahoma"/>
            <family val="2"/>
          </rPr>
          <t>Fabric options are;
Amalfi
Como (Blockout)
Como (Translucent)
Florence
London
Maui
Milan
Pompeii
Rome (Blockout)
Rome (Translucent)
Sunscreen</t>
        </r>
      </text>
    </comment>
    <comment ref="E42" authorId="0" shapeId="0" xr:uid="{00000000-0006-0000-0700-0000A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2" authorId="0" shapeId="0" xr:uid="{00000000-0006-0000-0700-0000A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2" authorId="0" shapeId="0" xr:uid="{00000000-0006-0000-0700-0000A8010000}">
      <text>
        <r>
          <rPr>
            <sz val="8"/>
            <color indexed="81"/>
            <rFont val="Tahoma"/>
            <family val="2"/>
          </rPr>
          <t xml:space="preserve">Minimum Height/Drop is 500mm.
Maximum Height/Drop is 3000mm. </t>
        </r>
      </text>
    </comment>
    <comment ref="H42" authorId="0" shapeId="0" xr:uid="{00000000-0006-0000-0700-0000A9010000}">
      <text>
        <r>
          <rPr>
            <sz val="8"/>
            <color indexed="81"/>
            <rFont val="Tahoma"/>
            <family val="2"/>
          </rPr>
          <t xml:space="preserve">
Panel Quantities 
options;
2
3
4
5
6
7
9
Please note; 
Minimum Panel Width is 400mm.
Maximum Panel Width is 1000mm.</t>
        </r>
      </text>
    </comment>
    <comment ref="I42" authorId="0" shapeId="0" xr:uid="{00000000-0006-0000-0700-0000A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2" authorId="0" shapeId="0" xr:uid="{00000000-0006-0000-0700-0000AB010000}">
      <text>
        <r>
          <rPr>
            <sz val="8"/>
            <color indexed="81"/>
            <rFont val="Tahoma"/>
            <family val="2"/>
          </rPr>
          <t>When selecting a
Corner or Bay 
Window Type, 
the 
CMB Corner WS 
or 
CMB Bay WS 
must be completed.</t>
        </r>
      </text>
    </comment>
    <comment ref="L42" authorId="0" shapeId="0" xr:uid="{00000000-0006-0000-0700-0000AC010000}">
      <text>
        <r>
          <rPr>
            <sz val="8"/>
            <color indexed="81"/>
            <rFont val="Tahoma"/>
            <family val="2"/>
          </rPr>
          <t>ACT 
Actual Measurements
You have made the allowances.
NAM
No Allowances Made 
The factory will make the deductions.</t>
        </r>
      </text>
    </comment>
    <comment ref="N42" authorId="0" shapeId="0" xr:uid="{00000000-0006-0000-0700-0000AD010000}">
      <text>
        <r>
          <rPr>
            <sz val="8"/>
            <color indexed="81"/>
            <rFont val="Tahoma"/>
            <family val="2"/>
          </rPr>
          <t>Track Colour options are;
Clear Anodised
Black
White
White Birch
Please note; 
All Blinds are supplied 
with a Clear Anodised Wand.</t>
        </r>
      </text>
    </comment>
    <comment ref="O42" authorId="0" shapeId="0" xr:uid="{00000000-0006-0000-0700-0000AE010000}">
      <text>
        <r>
          <rPr>
            <sz val="8"/>
            <color indexed="81"/>
            <rFont val="Tahoma"/>
            <family val="2"/>
          </rPr>
          <t xml:space="preserve">
Finish options;
Sewn In Pocket
Bottom Rail</t>
        </r>
      </text>
    </comment>
    <comment ref="P42" authorId="0" shapeId="0" xr:uid="{00000000-0006-0000-0700-0000AF010000}">
      <text>
        <r>
          <rPr>
            <sz val="8"/>
            <color indexed="81"/>
            <rFont val="Tahoma"/>
            <family val="2"/>
          </rPr>
          <t xml:space="preserve">
Bottom Rail Colour options;
Bright Silver
Clear Anodised
Metallic Black
Mocha
White
White Birch</t>
        </r>
      </text>
    </comment>
    <comment ref="Q42" authorId="0" shapeId="0" xr:uid="{00000000-0006-0000-0700-0000B0010000}">
      <text>
        <r>
          <rPr>
            <sz val="8"/>
            <color indexed="81"/>
            <rFont val="Tahoma"/>
            <family val="2"/>
          </rPr>
          <t>When
 Standard or Common 
is selected the 
Pelmet Colour 
must be entered.</t>
        </r>
      </text>
    </comment>
    <comment ref="D43" authorId="0" shapeId="0" xr:uid="{00000000-0006-0000-0700-0000B1010000}">
      <text>
        <r>
          <rPr>
            <sz val="8"/>
            <color indexed="81"/>
            <rFont val="Tahoma"/>
            <family val="2"/>
          </rPr>
          <t>Fabric options are;
Amalfi
Como (Blockout)
Como (Translucent)
Florence
London
Maui
Milan
Pompeii
Rome (Blockout)
Rome (Translucent)
Sunscreen</t>
        </r>
      </text>
    </comment>
    <comment ref="E43" authorId="0" shapeId="0" xr:uid="{00000000-0006-0000-0700-0000B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3" authorId="0" shapeId="0" xr:uid="{00000000-0006-0000-0700-0000B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3" authorId="0" shapeId="0" xr:uid="{00000000-0006-0000-0700-0000B4010000}">
      <text>
        <r>
          <rPr>
            <sz val="8"/>
            <color indexed="81"/>
            <rFont val="Tahoma"/>
            <family val="2"/>
          </rPr>
          <t xml:space="preserve">Minimum Height/Drop is 500mm.
Maximum Height/Drop is 3000mm. </t>
        </r>
      </text>
    </comment>
    <comment ref="H43" authorId="0" shapeId="0" xr:uid="{00000000-0006-0000-0700-0000B5010000}">
      <text>
        <r>
          <rPr>
            <sz val="8"/>
            <color indexed="81"/>
            <rFont val="Tahoma"/>
            <family val="2"/>
          </rPr>
          <t xml:space="preserve">
Panel Quantities 
options;
2
3
4
5
6
7
9
Please note; 
Minimum Panel Width is 400mm.
Maximum Panel Width is 1000mm.</t>
        </r>
      </text>
    </comment>
    <comment ref="I43" authorId="0" shapeId="0" xr:uid="{00000000-0006-0000-0700-0000B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3" authorId="0" shapeId="0" xr:uid="{00000000-0006-0000-0700-0000B7010000}">
      <text>
        <r>
          <rPr>
            <sz val="8"/>
            <color indexed="81"/>
            <rFont val="Tahoma"/>
            <family val="2"/>
          </rPr>
          <t>When selecting a
Corner or Bay 
Window Type, 
the 
CMB Corner WS 
or 
CMB Bay WS 
must be completed.</t>
        </r>
      </text>
    </comment>
    <comment ref="L43" authorId="0" shapeId="0" xr:uid="{00000000-0006-0000-0700-0000B8010000}">
      <text>
        <r>
          <rPr>
            <sz val="8"/>
            <color indexed="81"/>
            <rFont val="Tahoma"/>
            <family val="2"/>
          </rPr>
          <t>ACT 
Actual Measurements
You have made the allowances.
NAM
No Allowances Made 
The factory will make the deductions.</t>
        </r>
      </text>
    </comment>
    <comment ref="N43" authorId="0" shapeId="0" xr:uid="{00000000-0006-0000-0700-0000B9010000}">
      <text>
        <r>
          <rPr>
            <sz val="8"/>
            <color indexed="81"/>
            <rFont val="Tahoma"/>
            <family val="2"/>
          </rPr>
          <t>Track Colour options are;
Clear Anodised
Black
White
White Birch
Please note; 
All Blinds are supplied 
with a Clear Anodised Wand.</t>
        </r>
      </text>
    </comment>
    <comment ref="O43" authorId="0" shapeId="0" xr:uid="{00000000-0006-0000-0700-0000BA010000}">
      <text>
        <r>
          <rPr>
            <sz val="8"/>
            <color indexed="81"/>
            <rFont val="Tahoma"/>
            <family val="2"/>
          </rPr>
          <t xml:space="preserve">
Finish options;
Sewn In Pocket
Bottom Rail</t>
        </r>
      </text>
    </comment>
    <comment ref="P43" authorId="0" shapeId="0" xr:uid="{00000000-0006-0000-0700-0000BB010000}">
      <text>
        <r>
          <rPr>
            <sz val="8"/>
            <color indexed="81"/>
            <rFont val="Tahoma"/>
            <family val="2"/>
          </rPr>
          <t xml:space="preserve">
Bottom Rail Colour options;
Bright Silver
Clear Anodised
Metallic Black
Mocha
White
White Birch</t>
        </r>
      </text>
    </comment>
    <comment ref="Q43" authorId="0" shapeId="0" xr:uid="{00000000-0006-0000-0700-0000BC010000}">
      <text>
        <r>
          <rPr>
            <sz val="8"/>
            <color indexed="81"/>
            <rFont val="Tahoma"/>
            <family val="2"/>
          </rPr>
          <t>When
 Standard or Common 
is selected the 
Pelmet Colour 
must be entered.</t>
        </r>
      </text>
    </comment>
    <comment ref="D44" authorId="0" shapeId="0" xr:uid="{00000000-0006-0000-0700-0000BD010000}">
      <text>
        <r>
          <rPr>
            <sz val="8"/>
            <color indexed="81"/>
            <rFont val="Tahoma"/>
            <family val="2"/>
          </rPr>
          <t>Fabric options are;
Amalfi
Como (Blockout)
Como (Translucent)
Florence
London
Maui
Milan
Pompeii
Rome (Blockout)
Rome (Translucent)
Sunscreen</t>
        </r>
      </text>
    </comment>
    <comment ref="E44" authorId="0" shapeId="0" xr:uid="{00000000-0006-0000-0700-0000B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4" authorId="0" shapeId="0" xr:uid="{00000000-0006-0000-0700-0000B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4" authorId="0" shapeId="0" xr:uid="{00000000-0006-0000-0700-0000C0010000}">
      <text>
        <r>
          <rPr>
            <sz val="8"/>
            <color indexed="81"/>
            <rFont val="Tahoma"/>
            <family val="2"/>
          </rPr>
          <t xml:space="preserve">Minimum Height/Drop is 500mm.
Maximum Height/Drop is 3000mm. </t>
        </r>
      </text>
    </comment>
    <comment ref="H44" authorId="0" shapeId="0" xr:uid="{00000000-0006-0000-0700-0000C1010000}">
      <text>
        <r>
          <rPr>
            <sz val="8"/>
            <color indexed="81"/>
            <rFont val="Tahoma"/>
            <family val="2"/>
          </rPr>
          <t xml:space="preserve">
Panel Quantities 
options;
2
3
4
5
6
7
9
Please note; 
Minimum Panel Width is 400mm.
Maximum Panel Width is 1000mm.</t>
        </r>
      </text>
    </comment>
    <comment ref="I44" authorId="0" shapeId="0" xr:uid="{00000000-0006-0000-0700-0000C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4" authorId="0" shapeId="0" xr:uid="{00000000-0006-0000-0700-0000C3010000}">
      <text>
        <r>
          <rPr>
            <sz val="8"/>
            <color indexed="81"/>
            <rFont val="Tahoma"/>
            <family val="2"/>
          </rPr>
          <t>When selecting a
Corner or Bay 
Window Type, 
the 
CMB Corner WS 
or 
CMB Bay WS 
must be completed.</t>
        </r>
      </text>
    </comment>
    <comment ref="L44" authorId="0" shapeId="0" xr:uid="{00000000-0006-0000-0700-0000C4010000}">
      <text>
        <r>
          <rPr>
            <sz val="8"/>
            <color indexed="81"/>
            <rFont val="Tahoma"/>
            <family val="2"/>
          </rPr>
          <t>ACT 
Actual Measurements
You have made the allowances.
NAM
No Allowances Made 
The factory will make the deductions.</t>
        </r>
      </text>
    </comment>
    <comment ref="N44" authorId="0" shapeId="0" xr:uid="{00000000-0006-0000-0700-0000C5010000}">
      <text>
        <r>
          <rPr>
            <sz val="8"/>
            <color indexed="81"/>
            <rFont val="Tahoma"/>
            <family val="2"/>
          </rPr>
          <t>Track Colour options are;
Clear Anodised
Black
White
White Birch
Please note; 
All Blinds are supplied 
with a Clear Anodised Wand.</t>
        </r>
      </text>
    </comment>
    <comment ref="O44" authorId="0" shapeId="0" xr:uid="{00000000-0006-0000-0700-0000C6010000}">
      <text>
        <r>
          <rPr>
            <sz val="8"/>
            <color indexed="81"/>
            <rFont val="Tahoma"/>
            <family val="2"/>
          </rPr>
          <t xml:space="preserve">
Finish options;
Sewn In Pocket
Bottom Rail</t>
        </r>
      </text>
    </comment>
    <comment ref="P44" authorId="0" shapeId="0" xr:uid="{00000000-0006-0000-0700-0000C7010000}">
      <text>
        <r>
          <rPr>
            <sz val="8"/>
            <color indexed="81"/>
            <rFont val="Tahoma"/>
            <family val="2"/>
          </rPr>
          <t xml:space="preserve">
Bottom Rail Colour options;
Bright Silver
Clear Anodised
Metallic Black
Mocha
White
White Birch</t>
        </r>
      </text>
    </comment>
    <comment ref="Q44" authorId="0" shapeId="0" xr:uid="{00000000-0006-0000-0700-0000C8010000}">
      <text>
        <r>
          <rPr>
            <sz val="8"/>
            <color indexed="81"/>
            <rFont val="Tahoma"/>
            <family val="2"/>
          </rPr>
          <t>When
 Standard or Common 
is selected the 
Pelmet Colour 
must be entered.</t>
        </r>
      </text>
    </comment>
    <comment ref="D45" authorId="0" shapeId="0" xr:uid="{00000000-0006-0000-0700-0000C9010000}">
      <text>
        <r>
          <rPr>
            <sz val="8"/>
            <color indexed="81"/>
            <rFont val="Tahoma"/>
            <family val="2"/>
          </rPr>
          <t>Fabric options are;
Amalfi
Como (Blockout)
Como (Translucent)
Florence
London
Maui
Milan
Pompeii
Rome (Blockout)
Rome (Translucent)
Sunscreen</t>
        </r>
      </text>
    </comment>
    <comment ref="E45" authorId="0" shapeId="0" xr:uid="{00000000-0006-0000-0700-0000C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5" authorId="0" shapeId="0" xr:uid="{00000000-0006-0000-0700-0000C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5" authorId="0" shapeId="0" xr:uid="{00000000-0006-0000-0700-0000CC010000}">
      <text>
        <r>
          <rPr>
            <sz val="8"/>
            <color indexed="81"/>
            <rFont val="Tahoma"/>
            <family val="2"/>
          </rPr>
          <t xml:space="preserve">Minimum Height/Drop is 500mm.
Maximum Height/Drop is 3000mm. </t>
        </r>
      </text>
    </comment>
    <comment ref="H45" authorId="0" shapeId="0" xr:uid="{00000000-0006-0000-0700-0000CD010000}">
      <text>
        <r>
          <rPr>
            <sz val="8"/>
            <color indexed="81"/>
            <rFont val="Tahoma"/>
            <family val="2"/>
          </rPr>
          <t xml:space="preserve">
Panel Quantities 
options;
2
3
4
5
6
7
9
Please note; 
Minimum Panel Width is 400mm.
Maximum Panel Width is 1000mm.</t>
        </r>
      </text>
    </comment>
    <comment ref="I45" authorId="0" shapeId="0" xr:uid="{00000000-0006-0000-0700-0000C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5" authorId="0" shapeId="0" xr:uid="{00000000-0006-0000-0700-0000CF010000}">
      <text>
        <r>
          <rPr>
            <sz val="8"/>
            <color indexed="81"/>
            <rFont val="Tahoma"/>
            <family val="2"/>
          </rPr>
          <t>When selecting a
Corner or Bay 
Window Type, 
the 
CMB Corner WS 
or 
CMB Bay WS 
must be completed.</t>
        </r>
      </text>
    </comment>
    <comment ref="L45" authorId="0" shapeId="0" xr:uid="{00000000-0006-0000-0700-0000D0010000}">
      <text>
        <r>
          <rPr>
            <sz val="8"/>
            <color indexed="81"/>
            <rFont val="Tahoma"/>
            <family val="2"/>
          </rPr>
          <t>ACT 
Actual Measurements
You have made the allowances.
NAM
No Allowances Made 
The factory will make the deductions.</t>
        </r>
      </text>
    </comment>
    <comment ref="N45" authorId="0" shapeId="0" xr:uid="{00000000-0006-0000-0700-0000D1010000}">
      <text>
        <r>
          <rPr>
            <sz val="8"/>
            <color indexed="81"/>
            <rFont val="Tahoma"/>
            <family val="2"/>
          </rPr>
          <t>Track Colour options are;
Clear Anodised
Black
White
White Birch
Please note; 
All Blinds are supplied 
with a Clear Anodised Wand.</t>
        </r>
      </text>
    </comment>
    <comment ref="O45" authorId="0" shapeId="0" xr:uid="{00000000-0006-0000-0700-0000D2010000}">
      <text>
        <r>
          <rPr>
            <sz val="8"/>
            <color indexed="81"/>
            <rFont val="Tahoma"/>
            <family val="2"/>
          </rPr>
          <t xml:space="preserve">
Finish options;
Sewn In Pocket
Bottom Rail</t>
        </r>
      </text>
    </comment>
    <comment ref="P45" authorId="0" shapeId="0" xr:uid="{00000000-0006-0000-0700-0000D3010000}">
      <text>
        <r>
          <rPr>
            <sz val="8"/>
            <color indexed="81"/>
            <rFont val="Tahoma"/>
            <family val="2"/>
          </rPr>
          <t xml:space="preserve">
Bottom Rail Colour options;
Bright Silver
Clear Anodised
Metallic Black
Mocha
White
White Birch</t>
        </r>
      </text>
    </comment>
    <comment ref="Q45" authorId="0" shapeId="0" xr:uid="{00000000-0006-0000-0700-0000D4010000}">
      <text>
        <r>
          <rPr>
            <sz val="8"/>
            <color indexed="81"/>
            <rFont val="Tahoma"/>
            <family val="2"/>
          </rPr>
          <t>When
 Standard or Common 
is selected the 
Pelmet Colour 
must be entered.</t>
        </r>
      </text>
    </comment>
    <comment ref="D46" authorId="0" shapeId="0" xr:uid="{00000000-0006-0000-0700-0000D5010000}">
      <text>
        <r>
          <rPr>
            <sz val="8"/>
            <color indexed="81"/>
            <rFont val="Tahoma"/>
            <family val="2"/>
          </rPr>
          <t>Fabric options are;
Amalfi
Como (Blockout)
Como (Translucent)
Florence
London
Maui
Milan
Pompeii
Rome (Blockout)
Rome (Translucent)
Sunscreen</t>
        </r>
      </text>
    </comment>
    <comment ref="E46" authorId="0" shapeId="0" xr:uid="{00000000-0006-0000-0700-0000D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6" authorId="0" shapeId="0" xr:uid="{00000000-0006-0000-0700-0000D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6" authorId="0" shapeId="0" xr:uid="{00000000-0006-0000-0700-0000D8010000}">
      <text>
        <r>
          <rPr>
            <sz val="8"/>
            <color indexed="81"/>
            <rFont val="Tahoma"/>
            <family val="2"/>
          </rPr>
          <t xml:space="preserve">Minimum Height/Drop is 500mm.
Maximum Height/Drop is 3000mm. </t>
        </r>
      </text>
    </comment>
    <comment ref="H46" authorId="0" shapeId="0" xr:uid="{00000000-0006-0000-0700-0000D9010000}">
      <text>
        <r>
          <rPr>
            <sz val="8"/>
            <color indexed="81"/>
            <rFont val="Tahoma"/>
            <family val="2"/>
          </rPr>
          <t xml:space="preserve">
Panel Quantities 
options;
2
3
4
5
6
7
9
Please note; 
Minimum Panel Width is 400mm.
Maximum Panel Width is 1000mm.</t>
        </r>
      </text>
    </comment>
    <comment ref="I46" authorId="0" shapeId="0" xr:uid="{00000000-0006-0000-0700-0000D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6" authorId="0" shapeId="0" xr:uid="{00000000-0006-0000-0700-0000DB010000}">
      <text>
        <r>
          <rPr>
            <sz val="8"/>
            <color indexed="81"/>
            <rFont val="Tahoma"/>
            <family val="2"/>
          </rPr>
          <t>When selecting a
Corner or Bay 
Window Type, 
the 
CMB Corner WS 
or 
CMB Bay WS 
must be completed.</t>
        </r>
      </text>
    </comment>
    <comment ref="L46" authorId="0" shapeId="0" xr:uid="{00000000-0006-0000-0700-0000DC010000}">
      <text>
        <r>
          <rPr>
            <sz val="8"/>
            <color indexed="81"/>
            <rFont val="Tahoma"/>
            <family val="2"/>
          </rPr>
          <t>ACT 
Actual Measurements
You have made the allowances.
NAM
No Allowances Made 
The factory will make the deductions.</t>
        </r>
      </text>
    </comment>
    <comment ref="N46" authorId="0" shapeId="0" xr:uid="{00000000-0006-0000-0700-0000DD010000}">
      <text>
        <r>
          <rPr>
            <sz val="8"/>
            <color indexed="81"/>
            <rFont val="Tahoma"/>
            <family val="2"/>
          </rPr>
          <t>Track Colour options are;
Clear Anodised
Black
White
White Birch
Please note; 
All Blinds are supplied 
with a Clear Anodised Wand.</t>
        </r>
      </text>
    </comment>
    <comment ref="O46" authorId="0" shapeId="0" xr:uid="{00000000-0006-0000-0700-0000DE010000}">
      <text>
        <r>
          <rPr>
            <sz val="8"/>
            <color indexed="81"/>
            <rFont val="Tahoma"/>
            <family val="2"/>
          </rPr>
          <t xml:space="preserve">
Finish options;
Sewn In Pocket
Bottom Rail</t>
        </r>
      </text>
    </comment>
    <comment ref="P46" authorId="0" shapeId="0" xr:uid="{00000000-0006-0000-0700-0000DF010000}">
      <text>
        <r>
          <rPr>
            <sz val="8"/>
            <color indexed="81"/>
            <rFont val="Tahoma"/>
            <family val="2"/>
          </rPr>
          <t xml:space="preserve">
Bottom Rail Colour options;
Bright Silver
Clear Anodised
Metallic Black
Mocha
White
White Birch</t>
        </r>
      </text>
    </comment>
    <comment ref="Q46" authorId="0" shapeId="0" xr:uid="{00000000-0006-0000-0700-0000E0010000}">
      <text>
        <r>
          <rPr>
            <sz val="8"/>
            <color indexed="81"/>
            <rFont val="Tahoma"/>
            <family val="2"/>
          </rPr>
          <t>When
 Standard or Common 
is selected the 
Pelmet Colour 
must be entered.</t>
        </r>
      </text>
    </comment>
    <comment ref="D47" authorId="0" shapeId="0" xr:uid="{00000000-0006-0000-0700-0000E1010000}">
      <text>
        <r>
          <rPr>
            <sz val="8"/>
            <color indexed="81"/>
            <rFont val="Tahoma"/>
            <family val="2"/>
          </rPr>
          <t>Fabric options are;
Amalfi
Como (Blockout)
Como (Translucent)
Florence
London
Maui
Milan
Pompeii
Rome (Blockout)
Rome (Translucent)
Sunscreen</t>
        </r>
      </text>
    </comment>
    <comment ref="E47" authorId="0" shapeId="0" xr:uid="{00000000-0006-0000-0700-0000E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7" authorId="0" shapeId="0" xr:uid="{00000000-0006-0000-0700-0000E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7" authorId="0" shapeId="0" xr:uid="{00000000-0006-0000-0700-0000E4010000}">
      <text>
        <r>
          <rPr>
            <sz val="8"/>
            <color indexed="81"/>
            <rFont val="Tahoma"/>
            <family val="2"/>
          </rPr>
          <t xml:space="preserve">Minimum Height/Drop is 500mm.
Maximum Height/Drop is 3000mm. </t>
        </r>
      </text>
    </comment>
    <comment ref="H47" authorId="0" shapeId="0" xr:uid="{00000000-0006-0000-0700-0000E5010000}">
      <text>
        <r>
          <rPr>
            <sz val="8"/>
            <color indexed="81"/>
            <rFont val="Tahoma"/>
            <family val="2"/>
          </rPr>
          <t xml:space="preserve">
Panel Quantities 
options;
2
3
4
5
6
7
9
Please note; 
Minimum Panel Width is 400mm.
Maximum Panel Width is 1000mm.</t>
        </r>
      </text>
    </comment>
    <comment ref="I47" authorId="0" shapeId="0" xr:uid="{00000000-0006-0000-0700-0000E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7" authorId="0" shapeId="0" xr:uid="{00000000-0006-0000-0700-0000E7010000}">
      <text>
        <r>
          <rPr>
            <sz val="8"/>
            <color indexed="81"/>
            <rFont val="Tahoma"/>
            <family val="2"/>
          </rPr>
          <t>When selecting a
Corner or Bay 
Window Type, 
the 
CMB Corner WS 
or 
CMB Bay WS 
must be completed.</t>
        </r>
      </text>
    </comment>
    <comment ref="L47" authorId="0" shapeId="0" xr:uid="{00000000-0006-0000-0700-0000E8010000}">
      <text>
        <r>
          <rPr>
            <sz val="8"/>
            <color indexed="81"/>
            <rFont val="Tahoma"/>
            <family val="2"/>
          </rPr>
          <t>ACT 
Actual Measurements
You have made the allowances.
NAM
No Allowances Made 
The factory will make the deductions.</t>
        </r>
      </text>
    </comment>
    <comment ref="N47" authorId="0" shapeId="0" xr:uid="{00000000-0006-0000-0700-0000E9010000}">
      <text>
        <r>
          <rPr>
            <sz val="8"/>
            <color indexed="81"/>
            <rFont val="Tahoma"/>
            <family val="2"/>
          </rPr>
          <t>Track Colour options are;
Clear Anodised
Black
White
White Birch
Please note; 
All Blinds are supplied 
with a Clear Anodised Wand.</t>
        </r>
      </text>
    </comment>
    <comment ref="O47" authorId="0" shapeId="0" xr:uid="{00000000-0006-0000-0700-0000EA010000}">
      <text>
        <r>
          <rPr>
            <sz val="8"/>
            <color indexed="81"/>
            <rFont val="Tahoma"/>
            <family val="2"/>
          </rPr>
          <t xml:space="preserve">
Finish options;
Sewn In Pocket
Bottom Rail</t>
        </r>
      </text>
    </comment>
    <comment ref="P47" authorId="0" shapeId="0" xr:uid="{00000000-0006-0000-0700-0000EB010000}">
      <text>
        <r>
          <rPr>
            <sz val="8"/>
            <color indexed="81"/>
            <rFont val="Tahoma"/>
            <family val="2"/>
          </rPr>
          <t xml:space="preserve">
Bottom Rail Colour options;
Bright Silver
Clear Anodised
Metallic Black
Mocha
White
White Birch</t>
        </r>
      </text>
    </comment>
    <comment ref="Q47" authorId="0" shapeId="0" xr:uid="{00000000-0006-0000-0700-0000EC010000}">
      <text>
        <r>
          <rPr>
            <sz val="8"/>
            <color indexed="81"/>
            <rFont val="Tahoma"/>
            <family val="2"/>
          </rPr>
          <t>When
 Standard or Common 
is selected the 
Pelmet Colour 
must be entered.</t>
        </r>
      </text>
    </comment>
    <comment ref="D48" authorId="0" shapeId="0" xr:uid="{00000000-0006-0000-0700-0000ED010000}">
      <text>
        <r>
          <rPr>
            <sz val="8"/>
            <color indexed="81"/>
            <rFont val="Tahoma"/>
            <family val="2"/>
          </rPr>
          <t>Fabric options are;
Amalfi
Como (Blockout)
Como (Translucent)
Florence
London
Maui
Milan
Pompeii
Rome (Blockout)
Rome (Translucent)
Sunscreen</t>
        </r>
      </text>
    </comment>
    <comment ref="E48" authorId="0" shapeId="0" xr:uid="{00000000-0006-0000-0700-0000E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8" authorId="0" shapeId="0" xr:uid="{00000000-0006-0000-0700-0000E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8" authorId="0" shapeId="0" xr:uid="{00000000-0006-0000-0700-0000F0010000}">
      <text>
        <r>
          <rPr>
            <sz val="8"/>
            <color indexed="81"/>
            <rFont val="Tahoma"/>
            <family val="2"/>
          </rPr>
          <t xml:space="preserve">Minimum Height/Drop is 500mm.
Maximum Height/Drop is 3000mm. </t>
        </r>
      </text>
    </comment>
    <comment ref="H48" authorId="0" shapeId="0" xr:uid="{00000000-0006-0000-0700-0000F1010000}">
      <text>
        <r>
          <rPr>
            <sz val="8"/>
            <color indexed="81"/>
            <rFont val="Tahoma"/>
            <family val="2"/>
          </rPr>
          <t xml:space="preserve">
Panel Quantities 
options;
2
3
4
5
6
7
9
Please note; 
Minimum Panel Width is 400mm.
Maximum Panel Width is 1000mm.</t>
        </r>
      </text>
    </comment>
    <comment ref="I48" authorId="0" shapeId="0" xr:uid="{00000000-0006-0000-0700-0000F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8" authorId="0" shapeId="0" xr:uid="{00000000-0006-0000-0700-0000F3010000}">
      <text>
        <r>
          <rPr>
            <sz val="8"/>
            <color indexed="81"/>
            <rFont val="Tahoma"/>
            <family val="2"/>
          </rPr>
          <t>When selecting a
Corner or Bay 
Window Type, 
the 
CMB Corner WS 
or 
CMB Bay WS 
must be completed.</t>
        </r>
      </text>
    </comment>
    <comment ref="L48" authorId="0" shapeId="0" xr:uid="{00000000-0006-0000-0700-0000F4010000}">
      <text>
        <r>
          <rPr>
            <sz val="8"/>
            <color indexed="81"/>
            <rFont val="Tahoma"/>
            <family val="2"/>
          </rPr>
          <t>ACT 
Actual Measurements
You have made the allowances.
NAM
No Allowances Made 
The factory will make the deductions.</t>
        </r>
      </text>
    </comment>
    <comment ref="N48" authorId="0" shapeId="0" xr:uid="{00000000-0006-0000-0700-0000F5010000}">
      <text>
        <r>
          <rPr>
            <sz val="8"/>
            <color indexed="81"/>
            <rFont val="Tahoma"/>
            <family val="2"/>
          </rPr>
          <t>Track Colour options are;
Clear Anodised
Black
White
White Birch
Please note; 
All Blinds are supplied 
with a Clear Anodised Wand.</t>
        </r>
      </text>
    </comment>
    <comment ref="O48" authorId="0" shapeId="0" xr:uid="{00000000-0006-0000-0700-0000F6010000}">
      <text>
        <r>
          <rPr>
            <sz val="8"/>
            <color indexed="81"/>
            <rFont val="Tahoma"/>
            <family val="2"/>
          </rPr>
          <t xml:space="preserve">
Finish options;
Sewn In Pocket
Bottom Rail</t>
        </r>
      </text>
    </comment>
    <comment ref="P48" authorId="0" shapeId="0" xr:uid="{00000000-0006-0000-0700-0000F7010000}">
      <text>
        <r>
          <rPr>
            <sz val="8"/>
            <color indexed="81"/>
            <rFont val="Tahoma"/>
            <family val="2"/>
          </rPr>
          <t xml:space="preserve">
Bottom Rail Colour options;
Bright Silver
Clear Anodised
Metallic Black
Mocha
White
White Birch</t>
        </r>
      </text>
    </comment>
    <comment ref="Q48" authorId="0" shapeId="0" xr:uid="{00000000-0006-0000-0700-0000F8010000}">
      <text>
        <r>
          <rPr>
            <sz val="8"/>
            <color indexed="81"/>
            <rFont val="Tahoma"/>
            <family val="2"/>
          </rPr>
          <t>When
 Standard or Common 
is selected the 
Pelmet Colour 
must be entered.</t>
        </r>
      </text>
    </comment>
    <comment ref="D49" authorId="0" shapeId="0" xr:uid="{00000000-0006-0000-0700-0000F9010000}">
      <text>
        <r>
          <rPr>
            <sz val="8"/>
            <color indexed="81"/>
            <rFont val="Tahoma"/>
            <family val="2"/>
          </rPr>
          <t>Fabric options are;
Amalfi
Como (Blockout)
Como (Translucent)
Florence
London
Maui
Milan
Pompeii
Rome (Blockout)
Rome (Translucent)
Sunscreen</t>
        </r>
      </text>
    </comment>
    <comment ref="E49" authorId="0" shapeId="0" xr:uid="{00000000-0006-0000-0700-0000F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9" authorId="0" shapeId="0" xr:uid="{00000000-0006-0000-0700-0000F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9" authorId="0" shapeId="0" xr:uid="{00000000-0006-0000-0700-0000FC010000}">
      <text>
        <r>
          <rPr>
            <sz val="8"/>
            <color indexed="81"/>
            <rFont val="Tahoma"/>
            <family val="2"/>
          </rPr>
          <t xml:space="preserve">Minimum Height/Drop is 500mm.
Maximum Height/Drop is 3000mm. </t>
        </r>
      </text>
    </comment>
    <comment ref="H49" authorId="0" shapeId="0" xr:uid="{00000000-0006-0000-0700-0000FD010000}">
      <text>
        <r>
          <rPr>
            <sz val="8"/>
            <color indexed="81"/>
            <rFont val="Tahoma"/>
            <family val="2"/>
          </rPr>
          <t xml:space="preserve">
Panel Quantities 
options;
2
3
4
5
6
7
9
Please note; 
Minimum Panel Width is 400mm.
Maximum Panel Width is 1000mm.</t>
        </r>
      </text>
    </comment>
    <comment ref="I49" authorId="0" shapeId="0" xr:uid="{00000000-0006-0000-0700-0000F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9" authorId="0" shapeId="0" xr:uid="{00000000-0006-0000-0700-0000FF010000}">
      <text>
        <r>
          <rPr>
            <sz val="8"/>
            <color indexed="81"/>
            <rFont val="Tahoma"/>
            <family val="2"/>
          </rPr>
          <t>When selecting a
Corner or Bay 
Window Type, 
the 
CMB Corner WS 
or 
CMB Bay WS 
must be completed.</t>
        </r>
      </text>
    </comment>
    <comment ref="L49" authorId="0" shapeId="0" xr:uid="{00000000-0006-0000-0700-000000020000}">
      <text>
        <r>
          <rPr>
            <sz val="8"/>
            <color indexed="81"/>
            <rFont val="Tahoma"/>
            <family val="2"/>
          </rPr>
          <t>ACT 
Actual Measurements
You have made the allowances.
NAM
No Allowances Made 
The factory will make the deductions.</t>
        </r>
      </text>
    </comment>
    <comment ref="N49" authorId="0" shapeId="0" xr:uid="{00000000-0006-0000-0700-000001020000}">
      <text>
        <r>
          <rPr>
            <sz val="8"/>
            <color indexed="81"/>
            <rFont val="Tahoma"/>
            <family val="2"/>
          </rPr>
          <t>Track Colour options are;
Clear Anodised
Black
White
White Birch
Please note; 
All Blinds are supplied 
with a Clear Anodised Wand.</t>
        </r>
      </text>
    </comment>
    <comment ref="O49" authorId="0" shapeId="0" xr:uid="{00000000-0006-0000-0700-000002020000}">
      <text>
        <r>
          <rPr>
            <sz val="8"/>
            <color indexed="81"/>
            <rFont val="Tahoma"/>
            <family val="2"/>
          </rPr>
          <t xml:space="preserve">
Finish options;
Sewn In Pocket
Bottom Rail</t>
        </r>
      </text>
    </comment>
    <comment ref="P49" authorId="0" shapeId="0" xr:uid="{00000000-0006-0000-0700-000003020000}">
      <text>
        <r>
          <rPr>
            <sz val="8"/>
            <color indexed="81"/>
            <rFont val="Tahoma"/>
            <family val="2"/>
          </rPr>
          <t xml:space="preserve">
Bottom Rail Colour options;
Bright Silver
Clear Anodised
Metallic Black
Mocha
White
White Birch</t>
        </r>
      </text>
    </comment>
    <comment ref="Q49" authorId="0" shapeId="0" xr:uid="{00000000-0006-0000-0700-000004020000}">
      <text>
        <r>
          <rPr>
            <sz val="8"/>
            <color indexed="81"/>
            <rFont val="Tahoma"/>
            <family val="2"/>
          </rPr>
          <t>When
 Standard or Common 
is selected the 
Pelmet Colour 
must be entered.</t>
        </r>
      </text>
    </comment>
    <comment ref="D50" authorId="0" shapeId="0" xr:uid="{00000000-0006-0000-0700-000005020000}">
      <text>
        <r>
          <rPr>
            <sz val="8"/>
            <color indexed="81"/>
            <rFont val="Tahoma"/>
            <family val="2"/>
          </rPr>
          <t>Fabric options are;
Amalfi
Como (Blockout)
Como (Translucent)
Florence
London
Maui
Milan
Pompeii
Rome (Blockout)
Rome (Translucent)
Sunscreen</t>
        </r>
      </text>
    </comment>
    <comment ref="E50" authorId="0" shapeId="0" xr:uid="{00000000-0006-0000-0700-000006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0" authorId="0" shapeId="0" xr:uid="{00000000-0006-0000-0700-000007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0" authorId="0" shapeId="0" xr:uid="{00000000-0006-0000-0700-000008020000}">
      <text>
        <r>
          <rPr>
            <sz val="8"/>
            <color indexed="81"/>
            <rFont val="Tahoma"/>
            <family val="2"/>
          </rPr>
          <t xml:space="preserve">Minimum Height/Drop is 500mm.
Maximum Height/Drop is 3000mm. </t>
        </r>
      </text>
    </comment>
    <comment ref="H50" authorId="0" shapeId="0" xr:uid="{00000000-0006-0000-0700-000009020000}">
      <text>
        <r>
          <rPr>
            <sz val="8"/>
            <color indexed="81"/>
            <rFont val="Tahoma"/>
            <family val="2"/>
          </rPr>
          <t xml:space="preserve">
Panel Quantities 
options;
2
3
4
5
6
7
9
Please note; 
Minimum Panel Width is 400mm.
Maximum Panel Width is 1000mm.</t>
        </r>
      </text>
    </comment>
    <comment ref="I50" authorId="0" shapeId="0" xr:uid="{00000000-0006-0000-0700-00000A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0" authorId="0" shapeId="0" xr:uid="{00000000-0006-0000-0700-00000B020000}">
      <text>
        <r>
          <rPr>
            <sz val="8"/>
            <color indexed="81"/>
            <rFont val="Tahoma"/>
            <family val="2"/>
          </rPr>
          <t>When selecting a
Corner or Bay 
Window Type, 
the 
CMB Corner WS 
or 
CMB Bay WS 
must be completed.</t>
        </r>
      </text>
    </comment>
    <comment ref="L50" authorId="0" shapeId="0" xr:uid="{00000000-0006-0000-0700-00000C020000}">
      <text>
        <r>
          <rPr>
            <sz val="8"/>
            <color indexed="81"/>
            <rFont val="Tahoma"/>
            <family val="2"/>
          </rPr>
          <t>ACT 
Actual Measurements
You have made the allowances.
NAM
No Allowances Made 
The factory will make the deductions.</t>
        </r>
      </text>
    </comment>
    <comment ref="N50" authorId="0" shapeId="0" xr:uid="{00000000-0006-0000-0700-00000D020000}">
      <text>
        <r>
          <rPr>
            <sz val="8"/>
            <color indexed="81"/>
            <rFont val="Tahoma"/>
            <family val="2"/>
          </rPr>
          <t>Track Colour options are;
Clear Anodised
Black
White
White Birch
Please note; 
All Blinds are supplied 
with a Clear Anodised Wand.</t>
        </r>
      </text>
    </comment>
    <comment ref="O50" authorId="0" shapeId="0" xr:uid="{00000000-0006-0000-0700-00000E020000}">
      <text>
        <r>
          <rPr>
            <sz val="8"/>
            <color indexed="81"/>
            <rFont val="Tahoma"/>
            <family val="2"/>
          </rPr>
          <t xml:space="preserve">
Finish options;
Sewn In Pocket
Bottom Rail</t>
        </r>
      </text>
    </comment>
    <comment ref="P50" authorId="0" shapeId="0" xr:uid="{00000000-0006-0000-0700-00000F020000}">
      <text>
        <r>
          <rPr>
            <sz val="8"/>
            <color indexed="81"/>
            <rFont val="Tahoma"/>
            <family val="2"/>
          </rPr>
          <t xml:space="preserve">
Bottom Rail Colour options;
Bright Silver
Clear Anodised
Metallic Black
Mocha
White
White Birch</t>
        </r>
      </text>
    </comment>
    <comment ref="Q50" authorId="0" shapeId="0" xr:uid="{00000000-0006-0000-0700-000010020000}">
      <text>
        <r>
          <rPr>
            <sz val="8"/>
            <color indexed="81"/>
            <rFont val="Tahoma"/>
            <family val="2"/>
          </rPr>
          <t>When
 Standard or Common 
is selected the 
Pelmet Colour 
must be entered.</t>
        </r>
      </text>
    </comment>
    <comment ref="D51" authorId="0" shapeId="0" xr:uid="{00000000-0006-0000-0700-000011020000}">
      <text>
        <r>
          <rPr>
            <sz val="8"/>
            <color indexed="81"/>
            <rFont val="Tahoma"/>
            <family val="2"/>
          </rPr>
          <t>Fabric options are;
Amalfi
Como (Blockout)
Como (Translucent)
Florence
London
Maui
Milan
Pompeii
Rome (Blockout)
Rome (Translucent)
Sunscreen</t>
        </r>
      </text>
    </comment>
    <comment ref="E51" authorId="0" shapeId="0" xr:uid="{00000000-0006-0000-0700-000012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1" authorId="0" shapeId="0" xr:uid="{00000000-0006-0000-0700-000013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1" authorId="0" shapeId="0" xr:uid="{00000000-0006-0000-0700-000014020000}">
      <text>
        <r>
          <rPr>
            <sz val="8"/>
            <color indexed="81"/>
            <rFont val="Tahoma"/>
            <family val="2"/>
          </rPr>
          <t xml:space="preserve">Minimum Height/Drop is 500mm.
Maximum Height/Drop is 3000mm. </t>
        </r>
      </text>
    </comment>
    <comment ref="H51" authorId="0" shapeId="0" xr:uid="{00000000-0006-0000-0700-000015020000}">
      <text>
        <r>
          <rPr>
            <sz val="8"/>
            <color indexed="81"/>
            <rFont val="Tahoma"/>
            <family val="2"/>
          </rPr>
          <t xml:space="preserve">
Panel Quantities 
options;
2
3
4
5
6
7
9
Please note; 
Minimum Panel Width is 400mm.
Maximum Panel Width is 1000mm.</t>
        </r>
      </text>
    </comment>
    <comment ref="I51" authorId="0" shapeId="0" xr:uid="{00000000-0006-0000-0700-000016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1" authorId="0" shapeId="0" xr:uid="{00000000-0006-0000-0700-000017020000}">
      <text>
        <r>
          <rPr>
            <sz val="8"/>
            <color indexed="81"/>
            <rFont val="Tahoma"/>
            <family val="2"/>
          </rPr>
          <t>When selecting a
Corner or Bay 
Window Type, 
the 
CMB Corner WS 
or 
CMB Bay WS 
must be completed.</t>
        </r>
      </text>
    </comment>
    <comment ref="L51" authorId="0" shapeId="0" xr:uid="{00000000-0006-0000-0700-000018020000}">
      <text>
        <r>
          <rPr>
            <sz val="8"/>
            <color indexed="81"/>
            <rFont val="Tahoma"/>
            <family val="2"/>
          </rPr>
          <t>ACT 
Actual Measurements
You have made the allowances.
NAM
No Allowances Made 
The factory will make the deductions.</t>
        </r>
      </text>
    </comment>
    <comment ref="N51" authorId="0" shapeId="0" xr:uid="{00000000-0006-0000-0700-000019020000}">
      <text>
        <r>
          <rPr>
            <sz val="8"/>
            <color indexed="81"/>
            <rFont val="Tahoma"/>
            <family val="2"/>
          </rPr>
          <t>Track Colour options are;
Clear Anodised
Black
White
White Birch
Please note; 
All Blinds are supplied 
with a Clear Anodised Wand.</t>
        </r>
      </text>
    </comment>
    <comment ref="O51" authorId="0" shapeId="0" xr:uid="{00000000-0006-0000-0700-00001A020000}">
      <text>
        <r>
          <rPr>
            <sz val="8"/>
            <color indexed="81"/>
            <rFont val="Tahoma"/>
            <family val="2"/>
          </rPr>
          <t xml:space="preserve">
Finish options;
Sewn In Pocket
Bottom Rail</t>
        </r>
      </text>
    </comment>
    <comment ref="P51" authorId="0" shapeId="0" xr:uid="{00000000-0006-0000-0700-00001B020000}">
      <text>
        <r>
          <rPr>
            <sz val="8"/>
            <color indexed="81"/>
            <rFont val="Tahoma"/>
            <family val="2"/>
          </rPr>
          <t xml:space="preserve">
Bottom Rail Colour options;
Bright Silver
Clear Anodised
Metallic Black
Mocha
White
White Birch</t>
        </r>
      </text>
    </comment>
    <comment ref="Q51" authorId="0" shapeId="0" xr:uid="{00000000-0006-0000-0700-00001C020000}">
      <text>
        <r>
          <rPr>
            <sz val="8"/>
            <color indexed="81"/>
            <rFont val="Tahoma"/>
            <family val="2"/>
          </rPr>
          <t>When
 Standard or Common 
is selected the 
Pelmet Colour 
must be entered.</t>
        </r>
      </text>
    </comment>
    <comment ref="D52" authorId="0" shapeId="0" xr:uid="{00000000-0006-0000-0700-00001D020000}">
      <text>
        <r>
          <rPr>
            <sz val="8"/>
            <color indexed="81"/>
            <rFont val="Tahoma"/>
            <family val="2"/>
          </rPr>
          <t>Fabric options are;
Amalfi
Como (Blockout)
Como (Translucent)
Florence
London
Maui
Milan
Pompeii
Rome (Blockout)
Rome (Translucent)
Sunscreen</t>
        </r>
      </text>
    </comment>
    <comment ref="E52" authorId="0" shapeId="0" xr:uid="{00000000-0006-0000-0700-00001E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2" authorId="0" shapeId="0" xr:uid="{00000000-0006-0000-0700-00001F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2" authorId="0" shapeId="0" xr:uid="{00000000-0006-0000-0700-000020020000}">
      <text>
        <r>
          <rPr>
            <sz val="8"/>
            <color indexed="81"/>
            <rFont val="Tahoma"/>
            <family val="2"/>
          </rPr>
          <t xml:space="preserve">Minimum Height/Drop is 500mm.
Maximum Height/Drop is 3000mm. </t>
        </r>
      </text>
    </comment>
    <comment ref="H52" authorId="0" shapeId="0" xr:uid="{00000000-0006-0000-0700-000021020000}">
      <text>
        <r>
          <rPr>
            <sz val="8"/>
            <color indexed="81"/>
            <rFont val="Tahoma"/>
            <family val="2"/>
          </rPr>
          <t xml:space="preserve">
Panel Quantities 
options;
2
3
4
5
6
7
9
Please note; 
Minimum Panel Width is 400mm.
Maximum Panel Width is 1000mm.</t>
        </r>
      </text>
    </comment>
    <comment ref="I52" authorId="0" shapeId="0" xr:uid="{00000000-0006-0000-0700-000022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2" authorId="0" shapeId="0" xr:uid="{00000000-0006-0000-0700-000023020000}">
      <text>
        <r>
          <rPr>
            <sz val="8"/>
            <color indexed="81"/>
            <rFont val="Tahoma"/>
            <family val="2"/>
          </rPr>
          <t>When selecting a
Corner or Bay 
Window Type, 
the 
CMB Corner WS 
or 
CMB Bay WS 
must be completed.</t>
        </r>
      </text>
    </comment>
    <comment ref="L52" authorId="0" shapeId="0" xr:uid="{00000000-0006-0000-0700-000024020000}">
      <text>
        <r>
          <rPr>
            <sz val="8"/>
            <color indexed="81"/>
            <rFont val="Tahoma"/>
            <family val="2"/>
          </rPr>
          <t>ACT 
Actual Measurements
You have made the allowances.
NAM
No Allowances Made 
The factory will make the deductions.</t>
        </r>
      </text>
    </comment>
    <comment ref="N52" authorId="0" shapeId="0" xr:uid="{00000000-0006-0000-0700-000025020000}">
      <text>
        <r>
          <rPr>
            <sz val="8"/>
            <color indexed="81"/>
            <rFont val="Tahoma"/>
            <family val="2"/>
          </rPr>
          <t>Track Colour options are;
Clear Anodised
Black
White
White Birch
Please note; 
All Blinds are supplied 
with a Clear Anodised Wand.</t>
        </r>
      </text>
    </comment>
    <comment ref="O52" authorId="0" shapeId="0" xr:uid="{00000000-0006-0000-0700-000026020000}">
      <text>
        <r>
          <rPr>
            <sz val="8"/>
            <color indexed="81"/>
            <rFont val="Tahoma"/>
            <family val="2"/>
          </rPr>
          <t xml:space="preserve">
Finish options;
Sewn In Pocket
Bottom Rail</t>
        </r>
      </text>
    </comment>
    <comment ref="P52" authorId="0" shapeId="0" xr:uid="{00000000-0006-0000-0700-000027020000}">
      <text>
        <r>
          <rPr>
            <sz val="8"/>
            <color indexed="81"/>
            <rFont val="Tahoma"/>
            <family val="2"/>
          </rPr>
          <t xml:space="preserve">
Bottom Rail Colour options;
Bright Silver
Clear Anodised
Metallic Black
Mocha
White
White Birch</t>
        </r>
      </text>
    </comment>
    <comment ref="Q52" authorId="0" shapeId="0" xr:uid="{00000000-0006-0000-0700-000028020000}">
      <text>
        <r>
          <rPr>
            <sz val="8"/>
            <color indexed="81"/>
            <rFont val="Tahoma"/>
            <family val="2"/>
          </rPr>
          <t>When
 Standard or Common 
is selected the 
Pelmet Colour 
must be entered.</t>
        </r>
      </text>
    </comment>
    <comment ref="D53" authorId="0" shapeId="0" xr:uid="{00000000-0006-0000-0700-000029020000}">
      <text>
        <r>
          <rPr>
            <sz val="8"/>
            <color indexed="81"/>
            <rFont val="Tahoma"/>
            <family val="2"/>
          </rPr>
          <t>Fabric options are;
Amalfi
Como (Blockout)
Como (Translucent)
Florence
London
Maui
Milan
Pompeii
Rome (Blockout)
Rome (Translucent)
Sunscreen</t>
        </r>
      </text>
    </comment>
    <comment ref="E53" authorId="0" shapeId="0" xr:uid="{00000000-0006-0000-0700-00002A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3" authorId="0" shapeId="0" xr:uid="{00000000-0006-0000-0700-00002B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3" authorId="0" shapeId="0" xr:uid="{00000000-0006-0000-0700-00002C020000}">
      <text>
        <r>
          <rPr>
            <sz val="8"/>
            <color indexed="81"/>
            <rFont val="Tahoma"/>
            <family val="2"/>
          </rPr>
          <t xml:space="preserve">Minimum Height/Drop is 500mm.
Maximum Height/Drop is 3000mm. </t>
        </r>
      </text>
    </comment>
    <comment ref="H53" authorId="0" shapeId="0" xr:uid="{00000000-0006-0000-0700-00002D020000}">
      <text>
        <r>
          <rPr>
            <sz val="8"/>
            <color indexed="81"/>
            <rFont val="Tahoma"/>
            <family val="2"/>
          </rPr>
          <t xml:space="preserve">
Panel Quantities 
options;
2
3
4
5
6
7
9
Please note; 
Minimum Panel Width is 400mm.
Maximum Panel Width is 1000mm.</t>
        </r>
      </text>
    </comment>
    <comment ref="I53" authorId="0" shapeId="0" xr:uid="{00000000-0006-0000-0700-00002E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3" authorId="0" shapeId="0" xr:uid="{00000000-0006-0000-0700-00002F020000}">
      <text>
        <r>
          <rPr>
            <sz val="8"/>
            <color indexed="81"/>
            <rFont val="Tahoma"/>
            <family val="2"/>
          </rPr>
          <t>When selecting a
Corner or Bay 
Window Type, 
the 
CMB Corner WS 
or 
CMB Bay WS 
must be completed.</t>
        </r>
      </text>
    </comment>
    <comment ref="L53" authorId="0" shapeId="0" xr:uid="{00000000-0006-0000-0700-000030020000}">
      <text>
        <r>
          <rPr>
            <sz val="8"/>
            <color indexed="81"/>
            <rFont val="Tahoma"/>
            <family val="2"/>
          </rPr>
          <t>ACT 
Actual Measurements
You have made the allowances.
NAM
No Allowances Made 
The factory will make the deductions.</t>
        </r>
      </text>
    </comment>
    <comment ref="N53" authorId="0" shapeId="0" xr:uid="{00000000-0006-0000-0700-000031020000}">
      <text>
        <r>
          <rPr>
            <sz val="8"/>
            <color indexed="81"/>
            <rFont val="Tahoma"/>
            <family val="2"/>
          </rPr>
          <t>Track Colour options are;
Clear Anodised
Black
White
White Birch
Please note; 
All Blinds are supplied 
with a Clear Anodised Wand.</t>
        </r>
      </text>
    </comment>
    <comment ref="O53" authorId="0" shapeId="0" xr:uid="{00000000-0006-0000-0700-000032020000}">
      <text>
        <r>
          <rPr>
            <sz val="8"/>
            <color indexed="81"/>
            <rFont val="Tahoma"/>
            <family val="2"/>
          </rPr>
          <t xml:space="preserve">
Finish options;
Sewn In Pocket
Bottom Rail</t>
        </r>
      </text>
    </comment>
    <comment ref="P53" authorId="0" shapeId="0" xr:uid="{00000000-0006-0000-0700-000033020000}">
      <text>
        <r>
          <rPr>
            <sz val="8"/>
            <color indexed="81"/>
            <rFont val="Tahoma"/>
            <family val="2"/>
          </rPr>
          <t xml:space="preserve">
Bottom Rail Colour options;
Bright Silver
Clear Anodised
Metallic Black
Mocha
White
White Birch</t>
        </r>
      </text>
    </comment>
    <comment ref="Q53" authorId="0" shapeId="0" xr:uid="{00000000-0006-0000-0700-000034020000}">
      <text>
        <r>
          <rPr>
            <sz val="8"/>
            <color indexed="81"/>
            <rFont val="Tahoma"/>
            <family val="2"/>
          </rPr>
          <t>When
 Standard or Common 
is selected the 
Pelmet Colour 
must be entered.</t>
        </r>
      </text>
    </comment>
    <comment ref="D54" authorId="0" shapeId="0" xr:uid="{00000000-0006-0000-0700-000035020000}">
      <text>
        <r>
          <rPr>
            <sz val="8"/>
            <color indexed="81"/>
            <rFont val="Tahoma"/>
            <family val="2"/>
          </rPr>
          <t>Fabric options are;
Amalfi
Como (Blockout)
Como (Translucent)
Florence
London
Maui
Milan
Pompeii
Rome (Blockout)
Rome (Translucent)
Sunscreen</t>
        </r>
      </text>
    </comment>
    <comment ref="E54" authorId="0" shapeId="0" xr:uid="{00000000-0006-0000-0700-000036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4" authorId="0" shapeId="0" xr:uid="{00000000-0006-0000-0700-000037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4" authorId="0" shapeId="0" xr:uid="{00000000-0006-0000-0700-000038020000}">
      <text>
        <r>
          <rPr>
            <sz val="8"/>
            <color indexed="81"/>
            <rFont val="Tahoma"/>
            <family val="2"/>
          </rPr>
          <t xml:space="preserve">Minimum Height/Drop is 500mm.
Maximum Height/Drop is 3000mm. </t>
        </r>
      </text>
    </comment>
    <comment ref="H54" authorId="0" shapeId="0" xr:uid="{00000000-0006-0000-0700-000039020000}">
      <text>
        <r>
          <rPr>
            <sz val="8"/>
            <color indexed="81"/>
            <rFont val="Tahoma"/>
            <family val="2"/>
          </rPr>
          <t xml:space="preserve">
Panel Quantities 
options;
2
3
4
5
6
7
9
Please note; 
Minimum Panel Width is 400mm.
Maximum Panel Width is 1000mm.</t>
        </r>
      </text>
    </comment>
    <comment ref="I54" authorId="0" shapeId="0" xr:uid="{00000000-0006-0000-0700-00003A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4" authorId="0" shapeId="0" xr:uid="{00000000-0006-0000-0700-00003B020000}">
      <text>
        <r>
          <rPr>
            <sz val="8"/>
            <color indexed="81"/>
            <rFont val="Tahoma"/>
            <family val="2"/>
          </rPr>
          <t>When selecting a
Corner or Bay 
Window Type, 
the 
CMB Corner WS 
or 
CMB Bay WS 
must be completed.</t>
        </r>
      </text>
    </comment>
    <comment ref="L54" authorId="0" shapeId="0" xr:uid="{00000000-0006-0000-0700-00003C020000}">
      <text>
        <r>
          <rPr>
            <sz val="8"/>
            <color indexed="81"/>
            <rFont val="Tahoma"/>
            <family val="2"/>
          </rPr>
          <t>ACT 
Actual Measurements
You have made the allowances.
NAM
No Allowances Made 
The factory will make the deductions.</t>
        </r>
      </text>
    </comment>
    <comment ref="N54" authorId="0" shapeId="0" xr:uid="{00000000-0006-0000-0700-00003D020000}">
      <text>
        <r>
          <rPr>
            <sz val="8"/>
            <color indexed="81"/>
            <rFont val="Tahoma"/>
            <family val="2"/>
          </rPr>
          <t>Track Colour options are;
Clear Anodised
Black
White
White Birch
Please note; 
All Blinds are supplied 
with a Clear Anodised Wand.</t>
        </r>
      </text>
    </comment>
    <comment ref="O54" authorId="0" shapeId="0" xr:uid="{00000000-0006-0000-0700-00003E020000}">
      <text>
        <r>
          <rPr>
            <sz val="8"/>
            <color indexed="81"/>
            <rFont val="Tahoma"/>
            <family val="2"/>
          </rPr>
          <t xml:space="preserve">
Finish options;
Sewn In Pocket
Bottom Rail</t>
        </r>
      </text>
    </comment>
    <comment ref="P54" authorId="0" shapeId="0" xr:uid="{00000000-0006-0000-0700-00003F020000}">
      <text>
        <r>
          <rPr>
            <sz val="8"/>
            <color indexed="81"/>
            <rFont val="Tahoma"/>
            <family val="2"/>
          </rPr>
          <t xml:space="preserve">
Bottom Rail Colour options;
Bright Silver
Clear Anodised
Metallic Black
Mocha
White
White Birch</t>
        </r>
      </text>
    </comment>
    <comment ref="Q54" authorId="0" shapeId="0" xr:uid="{00000000-0006-0000-0700-000040020000}">
      <text>
        <r>
          <rPr>
            <sz val="8"/>
            <color indexed="81"/>
            <rFont val="Tahoma"/>
            <family val="2"/>
          </rPr>
          <t>When
 Standard or Common 
is selected the 
Pelmet Colour 
must be entered.</t>
        </r>
      </text>
    </comment>
    <comment ref="D55" authorId="0" shapeId="0" xr:uid="{00000000-0006-0000-0700-000041020000}">
      <text>
        <r>
          <rPr>
            <sz val="8"/>
            <color indexed="81"/>
            <rFont val="Tahoma"/>
            <family val="2"/>
          </rPr>
          <t>Fabric options are;
Amalfi
Como (Blockout)
Como (Translucent)
Florence
London
Maui
Milan
Pompeii
Rome (Blockout)
Rome (Translucent)
Sunscreen</t>
        </r>
      </text>
    </comment>
    <comment ref="E55" authorId="0" shapeId="0" xr:uid="{00000000-0006-0000-0700-000042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5" authorId="0" shapeId="0" xr:uid="{00000000-0006-0000-0700-000043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5" authorId="0" shapeId="0" xr:uid="{00000000-0006-0000-0700-000044020000}">
      <text>
        <r>
          <rPr>
            <sz val="8"/>
            <color indexed="81"/>
            <rFont val="Tahoma"/>
            <family val="2"/>
          </rPr>
          <t xml:space="preserve">Minimum Height/Drop is 500mm.
Maximum Height/Drop is 3000mm. </t>
        </r>
      </text>
    </comment>
    <comment ref="H55" authorId="0" shapeId="0" xr:uid="{00000000-0006-0000-0700-000045020000}">
      <text>
        <r>
          <rPr>
            <sz val="8"/>
            <color indexed="81"/>
            <rFont val="Tahoma"/>
            <family val="2"/>
          </rPr>
          <t xml:space="preserve">
Panel Quantities 
options;
2
3
4
5
6
7
9
Please note; 
Minimum Panel Width is 400mm.
Maximum Panel Width is 1000mm.</t>
        </r>
      </text>
    </comment>
    <comment ref="I55" authorId="0" shapeId="0" xr:uid="{00000000-0006-0000-0700-000046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5" authorId="0" shapeId="0" xr:uid="{00000000-0006-0000-0700-000047020000}">
      <text>
        <r>
          <rPr>
            <sz val="8"/>
            <color indexed="81"/>
            <rFont val="Tahoma"/>
            <family val="2"/>
          </rPr>
          <t>When selecting a
Corner or Bay 
Window Type, 
the 
CMB Corner WS 
or 
CMB Bay WS 
must be completed.</t>
        </r>
      </text>
    </comment>
    <comment ref="L55" authorId="0" shapeId="0" xr:uid="{00000000-0006-0000-0700-000048020000}">
      <text>
        <r>
          <rPr>
            <sz val="8"/>
            <color indexed="81"/>
            <rFont val="Tahoma"/>
            <family val="2"/>
          </rPr>
          <t>ACT 
Actual Measurements
You have made the allowances.
NAM
No Allowances Made 
The factory will make the deductions.</t>
        </r>
      </text>
    </comment>
    <comment ref="N55" authorId="0" shapeId="0" xr:uid="{00000000-0006-0000-0700-000049020000}">
      <text>
        <r>
          <rPr>
            <sz val="8"/>
            <color indexed="81"/>
            <rFont val="Tahoma"/>
            <family val="2"/>
          </rPr>
          <t>Track Colour options are;
Clear Anodised
Black
White
White Birch
Please note; 
All Blinds are supplied 
with a Clear Anodised Wand.</t>
        </r>
      </text>
    </comment>
    <comment ref="O55" authorId="0" shapeId="0" xr:uid="{00000000-0006-0000-0700-00004A020000}">
      <text>
        <r>
          <rPr>
            <sz val="8"/>
            <color indexed="81"/>
            <rFont val="Tahoma"/>
            <family val="2"/>
          </rPr>
          <t xml:space="preserve">
Finish options;
Sewn In Pocket
Bottom Rail</t>
        </r>
      </text>
    </comment>
    <comment ref="P55" authorId="0" shapeId="0" xr:uid="{00000000-0006-0000-0700-00004B020000}">
      <text>
        <r>
          <rPr>
            <sz val="8"/>
            <color indexed="81"/>
            <rFont val="Tahoma"/>
            <family val="2"/>
          </rPr>
          <t xml:space="preserve">
Bottom Rail Colour options;
Bright Silver
Clear Anodised
Metallic Black
Mocha
White
White Birch</t>
        </r>
      </text>
    </comment>
    <comment ref="Q55" authorId="0" shapeId="0" xr:uid="{00000000-0006-0000-0700-00004C020000}">
      <text>
        <r>
          <rPr>
            <sz val="8"/>
            <color indexed="81"/>
            <rFont val="Tahoma"/>
            <family val="2"/>
          </rPr>
          <t>When
 Standard or Common 
is selected the 
Pelmet Colour 
must be entered.</t>
        </r>
      </text>
    </comment>
    <comment ref="D56" authorId="0" shapeId="0" xr:uid="{00000000-0006-0000-0700-00004D020000}">
      <text>
        <r>
          <rPr>
            <sz val="8"/>
            <color indexed="81"/>
            <rFont val="Tahoma"/>
            <family val="2"/>
          </rPr>
          <t>Fabric options are;
Amalfi
Como (Blockout)
Como (Translucent)
Florence
London
Maui
Milan
Pompeii
Rome (Blockout)
Rome (Translucent)
Sunscreen</t>
        </r>
      </text>
    </comment>
    <comment ref="E56" authorId="0" shapeId="0" xr:uid="{00000000-0006-0000-0700-00004E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6" authorId="0" shapeId="0" xr:uid="{00000000-0006-0000-0700-00004F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6" authorId="0" shapeId="0" xr:uid="{00000000-0006-0000-0700-000050020000}">
      <text>
        <r>
          <rPr>
            <sz val="8"/>
            <color indexed="81"/>
            <rFont val="Tahoma"/>
            <family val="2"/>
          </rPr>
          <t xml:space="preserve">Minimum Height/Drop is 500mm.
Maximum Height/Drop is 3000mm. </t>
        </r>
      </text>
    </comment>
    <comment ref="H56" authorId="0" shapeId="0" xr:uid="{00000000-0006-0000-0700-000051020000}">
      <text>
        <r>
          <rPr>
            <sz val="8"/>
            <color indexed="81"/>
            <rFont val="Tahoma"/>
            <family val="2"/>
          </rPr>
          <t xml:space="preserve">
Panel Quantities 
options;
2
3
4
5
6
7
9
Please note; 
Minimum Panel Width is 400mm.
Maximum Panel Width is 1000mm.</t>
        </r>
      </text>
    </comment>
    <comment ref="I56" authorId="0" shapeId="0" xr:uid="{00000000-0006-0000-0700-000052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6" authorId="0" shapeId="0" xr:uid="{00000000-0006-0000-0700-000053020000}">
      <text>
        <r>
          <rPr>
            <sz val="8"/>
            <color indexed="81"/>
            <rFont val="Tahoma"/>
            <family val="2"/>
          </rPr>
          <t>When selecting a
Corner or Bay 
Window Type, 
the 
CMB Corner WS 
or 
CMB Bay WS 
must be completed.</t>
        </r>
      </text>
    </comment>
    <comment ref="L56" authorId="0" shapeId="0" xr:uid="{00000000-0006-0000-0700-000054020000}">
      <text>
        <r>
          <rPr>
            <sz val="8"/>
            <color indexed="81"/>
            <rFont val="Tahoma"/>
            <family val="2"/>
          </rPr>
          <t>ACT 
Actual Measurements
You have made the allowances.
NAM
No Allowances Made 
The factory will make the deductions.</t>
        </r>
      </text>
    </comment>
    <comment ref="N56" authorId="0" shapeId="0" xr:uid="{00000000-0006-0000-0700-000055020000}">
      <text>
        <r>
          <rPr>
            <sz val="8"/>
            <color indexed="81"/>
            <rFont val="Tahoma"/>
            <family val="2"/>
          </rPr>
          <t>Track Colour options are;
Clear Anodised
Black
White
White Birch
Please note; 
All Blinds are supplied 
with a Clear Anodised Wand.</t>
        </r>
      </text>
    </comment>
    <comment ref="O56" authorId="0" shapeId="0" xr:uid="{00000000-0006-0000-0700-000056020000}">
      <text>
        <r>
          <rPr>
            <sz val="8"/>
            <color indexed="81"/>
            <rFont val="Tahoma"/>
            <family val="2"/>
          </rPr>
          <t xml:space="preserve">
Finish options;
Sewn In Pocket
Bottom Rail</t>
        </r>
      </text>
    </comment>
    <comment ref="P56" authorId="0" shapeId="0" xr:uid="{00000000-0006-0000-0700-000057020000}">
      <text>
        <r>
          <rPr>
            <sz val="8"/>
            <color indexed="81"/>
            <rFont val="Tahoma"/>
            <family val="2"/>
          </rPr>
          <t xml:space="preserve">
Bottom Rail Colour options;
Bright Silver
Clear Anodised
Metallic Black
Mocha
White
White Birch</t>
        </r>
      </text>
    </comment>
    <comment ref="Q56" authorId="0" shapeId="0" xr:uid="{00000000-0006-0000-0700-000058020000}">
      <text>
        <r>
          <rPr>
            <sz val="8"/>
            <color indexed="81"/>
            <rFont val="Tahoma"/>
            <family val="2"/>
          </rPr>
          <t>When
 Standard or Common 
is selected the 
Pelmet Colour 
must be entered.</t>
        </r>
      </text>
    </comment>
    <comment ref="D57" authorId="0" shapeId="0" xr:uid="{00000000-0006-0000-0700-000059020000}">
      <text>
        <r>
          <rPr>
            <sz val="8"/>
            <color indexed="81"/>
            <rFont val="Tahoma"/>
            <family val="2"/>
          </rPr>
          <t>Fabric options are;
Amalfi
Como (Blockout)
Como (Translucent)
Florence
London
Maui
Milan
Pompeii
Rome (Blockout)
Rome (Translucent)
Sunscreen</t>
        </r>
      </text>
    </comment>
    <comment ref="E57" authorId="0" shapeId="0" xr:uid="{00000000-0006-0000-0700-00005A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7" authorId="0" shapeId="0" xr:uid="{00000000-0006-0000-0700-00005B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7" authorId="0" shapeId="0" xr:uid="{00000000-0006-0000-0700-00005C020000}">
      <text>
        <r>
          <rPr>
            <sz val="8"/>
            <color indexed="81"/>
            <rFont val="Tahoma"/>
            <family val="2"/>
          </rPr>
          <t xml:space="preserve">Minimum Height/Drop is 500mm.
Maximum Height/Drop is 3000mm. </t>
        </r>
      </text>
    </comment>
    <comment ref="H57" authorId="0" shapeId="0" xr:uid="{00000000-0006-0000-0700-00005D020000}">
      <text>
        <r>
          <rPr>
            <sz val="8"/>
            <color indexed="81"/>
            <rFont val="Tahoma"/>
            <family val="2"/>
          </rPr>
          <t xml:space="preserve">
Panel Quantities 
options;
2
3
4
5
6
7
9
Please note; 
Minimum Panel Width is 400mm.
Maximum Panel Width is 1000mm.</t>
        </r>
      </text>
    </comment>
    <comment ref="I57" authorId="0" shapeId="0" xr:uid="{00000000-0006-0000-0700-00005E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7" authorId="0" shapeId="0" xr:uid="{00000000-0006-0000-0700-00005F020000}">
      <text>
        <r>
          <rPr>
            <sz val="8"/>
            <color indexed="81"/>
            <rFont val="Tahoma"/>
            <family val="2"/>
          </rPr>
          <t>When selecting a
Corner or Bay 
Window Type, 
the 
CMB Corner WS 
or 
CMB Bay WS 
must be completed.</t>
        </r>
      </text>
    </comment>
    <comment ref="L57" authorId="0" shapeId="0" xr:uid="{00000000-0006-0000-0700-000060020000}">
      <text>
        <r>
          <rPr>
            <sz val="8"/>
            <color indexed="81"/>
            <rFont val="Tahoma"/>
            <family val="2"/>
          </rPr>
          <t>ACT 
Actual Measurements
You have made the allowances.
NAM
No Allowances Made 
The factory will make the deductions.</t>
        </r>
      </text>
    </comment>
    <comment ref="N57" authorId="0" shapeId="0" xr:uid="{00000000-0006-0000-0700-000061020000}">
      <text>
        <r>
          <rPr>
            <sz val="8"/>
            <color indexed="81"/>
            <rFont val="Tahoma"/>
            <family val="2"/>
          </rPr>
          <t>Track Colour options are;
Clear Anodised
Black
White
White Birch
Please note; 
All Blinds are supplied 
with a Clear Anodised Wand.</t>
        </r>
      </text>
    </comment>
    <comment ref="O57" authorId="0" shapeId="0" xr:uid="{00000000-0006-0000-0700-000062020000}">
      <text>
        <r>
          <rPr>
            <sz val="8"/>
            <color indexed="81"/>
            <rFont val="Tahoma"/>
            <family val="2"/>
          </rPr>
          <t xml:space="preserve">
Finish options;
Sewn In Pocket
Bottom Rail</t>
        </r>
      </text>
    </comment>
    <comment ref="P57" authorId="0" shapeId="0" xr:uid="{00000000-0006-0000-0700-000063020000}">
      <text>
        <r>
          <rPr>
            <sz val="8"/>
            <color indexed="81"/>
            <rFont val="Tahoma"/>
            <family val="2"/>
          </rPr>
          <t xml:space="preserve">
Bottom Rail Colour options;
Bright Silver
Clear Anodised
Metallic Black
Mocha
White
White Birch</t>
        </r>
      </text>
    </comment>
    <comment ref="Q57" authorId="0" shapeId="0" xr:uid="{00000000-0006-0000-0700-000064020000}">
      <text>
        <r>
          <rPr>
            <sz val="8"/>
            <color indexed="81"/>
            <rFont val="Tahoma"/>
            <family val="2"/>
          </rPr>
          <t>When
 Standard or Common 
is selected the 
Pelmet Colour 
must be entered.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7" authorId="0" shapeId="0" xr:uid="{00000000-0006-0000-0800-000001000000}">
      <text>
        <r>
          <rPr>
            <sz val="8"/>
            <color indexed="81"/>
            <rFont val="Tahoma"/>
            <family val="2"/>
          </rPr>
          <t>The Products options are;
Multi Shade
Roma Shade
Triple Shade</t>
        </r>
      </text>
    </comment>
    <comment ref="E7" authorId="0" shapeId="0" xr:uid="{33676BFA-BF85-4E6B-BD9C-9B1C5589E8AE}">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7" authorId="0" shapeId="0" xr:uid="{00000000-0006-0000-0800-000003000000}">
      <text>
        <r>
          <rPr>
            <sz val="8"/>
            <color indexed="81"/>
            <rFont val="Tahoma"/>
            <family val="2"/>
          </rPr>
          <t>The Colour can only be selected 
once the Product Type &amp; Finish has 
been entered.
Please refer to the Swatches.</t>
        </r>
      </text>
    </comment>
    <comment ref="G7" authorId="0" shapeId="0" xr:uid="{7A92BB13-78E5-4A5A-9DB4-7C2230A72B58}">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7" authorId="0" shapeId="0" xr:uid="{00000000-0006-0000-0800-00000500000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7" authorId="0" shapeId="0" xr:uid="{00000000-0006-0000-0800-000006000000}">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7" authorId="0" shapeId="0" xr:uid="{00000000-0006-0000-0800-000007000000}">
      <text>
        <r>
          <rPr>
            <sz val="8"/>
            <color indexed="81"/>
            <rFont val="Tahoma"/>
            <family val="2"/>
          </rPr>
          <t>The Fitting options are;
Face Fit
Recess Fit</t>
        </r>
      </text>
    </comment>
    <comment ref="K7" authorId="0" shapeId="0" xr:uid="{00000000-0006-0000-0800-00000800000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7" authorId="0" shapeId="0" xr:uid="{00000000-0006-0000-0800-000009000000}">
      <text>
        <r>
          <rPr>
            <sz val="8"/>
            <color indexed="81"/>
            <rFont val="Tahoma"/>
            <family val="2"/>
          </rPr>
          <t>The Head Box/Rail 
Colours for 
Multi Shades &amp; Triple Shades are;
Default
Beige
Black
Dark Brown
Grey
Ivory
Light Brown
White
The Head Box/Rail 
Colours for 
Roma Shades are;
N/A</t>
        </r>
      </text>
    </comment>
    <comment ref="M7" authorId="0" shapeId="0" xr:uid="{2C910A08-7B24-413B-868C-A804FBDC1FAE}">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7" authorId="0" shapeId="0" xr:uid="{00000000-0006-0000-0800-00000B000000}">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7" authorId="0" shapeId="0" xr:uid="{00000000-0006-0000-0800-00000C000000}">
      <text>
        <r>
          <rPr>
            <sz val="8"/>
            <color indexed="81"/>
            <rFont val="Tahoma"/>
            <family val="2"/>
          </rPr>
          <t>The Chain Length 
options are; 
Default
500mm
750mm
1000mm
1250mm
1500mm
2000mm
Motorised;
N/A</t>
        </r>
      </text>
    </comment>
    <comment ref="P7" authorId="0" shapeId="0" xr:uid="{00000000-0006-0000-0800-00000D000000}">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7" authorId="0" shapeId="0" xr:uid="{00000000-0006-0000-0800-00000E000000}">
      <text>
        <r>
          <rPr>
            <sz val="8"/>
            <color indexed="81"/>
            <rFont val="Tahoma"/>
            <family val="2"/>
          </rPr>
          <t>For Multi Shade and
Triple Shade,  
the  Fabric Insert  
options are;
Yes
For Roma Shade 
the  Fabric Insert  
options are;
N/A</t>
        </r>
      </text>
    </comment>
    <comment ref="R7" authorId="0" shapeId="0" xr:uid="{00000000-0006-0000-0800-00000F000000}">
      <text>
        <r>
          <rPr>
            <sz val="8"/>
            <color indexed="81"/>
            <rFont val="Tahoma"/>
            <family val="2"/>
          </rPr>
          <t>For Multi Shade, 
the options are;
Standard
Over Roll
For Triple Shade, 
the options are;
Standard
For Roma Shade 
the  options are;
N/A</t>
        </r>
      </text>
    </comment>
    <comment ref="T7" authorId="0" shapeId="0" xr:uid="{00000000-0006-0000-0800-000010000000}">
      <text>
        <r>
          <rPr>
            <sz val="8"/>
            <color indexed="81"/>
            <rFont val="Tahoma"/>
            <family val="2"/>
          </rPr>
          <t>Please use this section 
to specify 
any Special Requirements
for the Line/Order.</t>
        </r>
      </text>
    </comment>
    <comment ref="D8" authorId="0" shapeId="0" xr:uid="{C8EA8411-BB4B-4D19-8DA1-C451591584C3}">
      <text>
        <r>
          <rPr>
            <sz val="8"/>
            <color indexed="81"/>
            <rFont val="Tahoma"/>
            <family val="2"/>
          </rPr>
          <t>The Products options are;
Multi Shade
Roma Shade
Triple Shade</t>
        </r>
      </text>
    </comment>
    <comment ref="E8" authorId="0" shapeId="0" xr:uid="{24656F43-8DB4-4B2B-A6D0-6BFEB8DA4210}">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8" authorId="0" shapeId="0" xr:uid="{EEEE8610-7A9A-4428-9513-53FBC08B3E14}">
      <text>
        <r>
          <rPr>
            <sz val="8"/>
            <color indexed="81"/>
            <rFont val="Tahoma"/>
            <family val="2"/>
          </rPr>
          <t>The Colour can only be selected 
once the Product Type &amp; Finish has 
been entered.
Please refer to the Swatches.</t>
        </r>
      </text>
    </comment>
    <comment ref="G8" authorId="0" shapeId="0" xr:uid="{F82912B9-9628-456F-B7A7-F84D7269001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8" authorId="0" shapeId="0" xr:uid="{6598D2DE-D5B7-4081-A4AF-7F255889D2FA}">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8" authorId="0" shapeId="0" xr:uid="{8D8381DA-BE1F-49B2-A112-5D78927BFE3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8" authorId="0" shapeId="0" xr:uid="{6779D256-D5AC-4078-AD3C-448F8070EAB5}">
      <text>
        <r>
          <rPr>
            <sz val="8"/>
            <color indexed="81"/>
            <rFont val="Tahoma"/>
            <family val="2"/>
          </rPr>
          <t>The Fitting options are;
Face Fit
Recess Fit</t>
        </r>
      </text>
    </comment>
    <comment ref="K8" authorId="0" shapeId="0" xr:uid="{7F61EE25-4834-4890-8291-64258AA2499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8" authorId="0" shapeId="0" xr:uid="{22410EC1-CAB7-4FD5-9307-405D4C24FA30}">
      <text>
        <r>
          <rPr>
            <sz val="8"/>
            <color indexed="81"/>
            <rFont val="Tahoma"/>
            <family val="2"/>
          </rPr>
          <t>The Head Box/Rail 
Colours for 
Multi Shades &amp; Triple Shades are;
Default
Beige
Black
Dark Brown
Grey
Ivory
Light Brown
White
The Head Box/Rail 
Colours for 
Roma Shades are;
N/A</t>
        </r>
      </text>
    </comment>
    <comment ref="M8" authorId="0" shapeId="0" xr:uid="{8769CEB7-EB46-428C-9D90-FB7434F92089}">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8" authorId="0" shapeId="0" xr:uid="{F94D40CE-52BA-4B64-A0E8-6AC070F382B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8" authorId="0" shapeId="0" xr:uid="{01F7E110-1B6C-4DF8-8F4B-344FF8831572}">
      <text>
        <r>
          <rPr>
            <sz val="8"/>
            <color indexed="81"/>
            <rFont val="Tahoma"/>
            <family val="2"/>
          </rPr>
          <t>The Chain Length 
options are; 
Default
500mm
750mm
1000mm
1250mm
1500mm
2000mm
Motorised;
N/A</t>
        </r>
      </text>
    </comment>
    <comment ref="P8" authorId="0" shapeId="0" xr:uid="{C78C039D-7826-4B0E-A28E-30F528EA51BE}">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8" authorId="0" shapeId="0" xr:uid="{B83BDE29-A73F-4284-A60F-38E8BB8D1083}">
      <text>
        <r>
          <rPr>
            <sz val="8"/>
            <color indexed="81"/>
            <rFont val="Tahoma"/>
            <family val="2"/>
          </rPr>
          <t>For Multi Shade and
Triple Shade,  
the  Fabric Insert  
options are;
Yes
For Roma Shade 
the  Fabric Insert  
options are;
N/A</t>
        </r>
      </text>
    </comment>
    <comment ref="R8" authorId="0" shapeId="0" xr:uid="{36036279-C7C2-4EF1-B03B-A52517B0C805}">
      <text>
        <r>
          <rPr>
            <sz val="8"/>
            <color indexed="81"/>
            <rFont val="Tahoma"/>
            <family val="2"/>
          </rPr>
          <t>For Multi Shade, 
the options are;
Standard
Over Roll
For Triple Shade, 
the options are;
Standard
For Roma Shade 
the  options are;
N/A</t>
        </r>
      </text>
    </comment>
    <comment ref="T8" authorId="0" shapeId="0" xr:uid="{00000000-0006-0000-0800-000020000000}">
      <text>
        <r>
          <rPr>
            <sz val="8"/>
            <color indexed="81"/>
            <rFont val="Tahoma"/>
            <family val="2"/>
          </rPr>
          <t>Please use this section 
to specify 
any Special Requirements
for the Line/Order.</t>
        </r>
      </text>
    </comment>
    <comment ref="D9" authorId="0" shapeId="0" xr:uid="{58E3811A-1E6C-43BC-BFEE-C0F94DD6239C}">
      <text>
        <r>
          <rPr>
            <sz val="8"/>
            <color indexed="81"/>
            <rFont val="Tahoma"/>
            <family val="2"/>
          </rPr>
          <t>The Products options are;
Multi Shade
Roma Shade
Triple Shade</t>
        </r>
      </text>
    </comment>
    <comment ref="E9" authorId="0" shapeId="0" xr:uid="{87C3D1F2-A303-4CD7-9C47-EC242823AF7B}">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9" authorId="0" shapeId="0" xr:uid="{7C7189FD-D22B-41CB-9310-3AE672D46DC9}">
      <text>
        <r>
          <rPr>
            <sz val="8"/>
            <color indexed="81"/>
            <rFont val="Tahoma"/>
            <family val="2"/>
          </rPr>
          <t>The Colour can only be selected 
once the Product Type &amp; Finish has 
been entered.
Please refer to the Swatches.</t>
        </r>
      </text>
    </comment>
    <comment ref="G9" authorId="0" shapeId="0" xr:uid="{35133868-30FD-4342-898F-0CD249497AF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9" authorId="0" shapeId="0" xr:uid="{6457016E-105D-4418-8747-6B0473BCE03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9" authorId="0" shapeId="0" xr:uid="{BA8E8E44-83CE-44C7-95CD-1253B60EA535}">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9" authorId="0" shapeId="0" xr:uid="{21BD1957-18D0-4B69-AB4F-31F8D1C0AD07}">
      <text>
        <r>
          <rPr>
            <sz val="8"/>
            <color indexed="81"/>
            <rFont val="Tahoma"/>
            <family val="2"/>
          </rPr>
          <t>The Fitting options are;
Face Fit
Recess Fit</t>
        </r>
      </text>
    </comment>
    <comment ref="K9" authorId="0" shapeId="0" xr:uid="{7C77E278-7014-4288-AAA4-78A287D82976}">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9" authorId="0" shapeId="0" xr:uid="{9D24DFC0-16EB-4735-8D29-964515B04A44}">
      <text>
        <r>
          <rPr>
            <sz val="8"/>
            <color indexed="81"/>
            <rFont val="Tahoma"/>
            <family val="2"/>
          </rPr>
          <t>The Head Box/Rail 
Colours for 
Multi Shades &amp; Triple Shades are;
Default
Beige
Black
Dark Brown
Grey
Ivory
Light Brown
White
The Head Box/Rail 
Colours for 
Roma Shades are;
N/A</t>
        </r>
      </text>
    </comment>
    <comment ref="M9" authorId="0" shapeId="0" xr:uid="{463C3352-43DD-458E-A36C-F14C7B4F57DB}">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9" authorId="0" shapeId="0" xr:uid="{D925C8C5-CD48-47FE-9632-181E8728E176}">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9" authorId="0" shapeId="0" xr:uid="{603EC7F3-F86F-4641-87A5-D6E2ABFB9B25}">
      <text>
        <r>
          <rPr>
            <sz val="8"/>
            <color indexed="81"/>
            <rFont val="Tahoma"/>
            <family val="2"/>
          </rPr>
          <t>The Chain Length 
options are; 
Default
500mm
750mm
1000mm
1250mm
1500mm
2000mm
Motorised;
N/A</t>
        </r>
      </text>
    </comment>
    <comment ref="P9" authorId="0" shapeId="0" xr:uid="{E1E05D44-2401-482F-95D1-164FBA3D0164}">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9" authorId="0" shapeId="0" xr:uid="{8649A63F-6FCF-47CE-82E9-30F5A458C9C6}">
      <text>
        <r>
          <rPr>
            <sz val="8"/>
            <color indexed="81"/>
            <rFont val="Tahoma"/>
            <family val="2"/>
          </rPr>
          <t>For Multi Shade and
Triple Shade,  
the  Fabric Insert  
options are;
Yes
For Roma Shade 
the  Fabric Insert  
options are;
N/A</t>
        </r>
      </text>
    </comment>
    <comment ref="R9" authorId="0" shapeId="0" xr:uid="{10F36D24-0C2E-4FE3-8DA6-49FF64FC48FC}">
      <text>
        <r>
          <rPr>
            <sz val="8"/>
            <color indexed="81"/>
            <rFont val="Tahoma"/>
            <family val="2"/>
          </rPr>
          <t>For Multi Shade, 
the options are;
Standard
Over Roll
For Triple Shade, 
the options are;
Standard
For Roma Shade 
the  options are;
N/A</t>
        </r>
      </text>
    </comment>
    <comment ref="T9" authorId="0" shapeId="0" xr:uid="{00000000-0006-0000-0800-000030000000}">
      <text>
        <r>
          <rPr>
            <sz val="8"/>
            <color indexed="81"/>
            <rFont val="Tahoma"/>
            <family val="2"/>
          </rPr>
          <t>Please use this section 
to specify 
any Special Requirements
for the Line/Order.</t>
        </r>
      </text>
    </comment>
    <comment ref="D10" authorId="0" shapeId="0" xr:uid="{8B7409A2-E279-4604-8855-952AABD36338}">
      <text>
        <r>
          <rPr>
            <sz val="8"/>
            <color indexed="81"/>
            <rFont val="Tahoma"/>
            <family val="2"/>
          </rPr>
          <t>The Products options are;
Multi Shade
Roma Shade
Triple Shade</t>
        </r>
      </text>
    </comment>
    <comment ref="E10" authorId="0" shapeId="0" xr:uid="{178C887B-B55A-4BBE-9825-C53266707CF3}">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0" authorId="0" shapeId="0" xr:uid="{656526A5-CC55-40DD-B60E-D4E008C4C572}">
      <text>
        <r>
          <rPr>
            <sz val="8"/>
            <color indexed="81"/>
            <rFont val="Tahoma"/>
            <family val="2"/>
          </rPr>
          <t>The Colour can only be selected 
once the Product Type &amp; Finish has 
been entered.
Please refer to the Swatches.</t>
        </r>
      </text>
    </comment>
    <comment ref="G10" authorId="0" shapeId="0" xr:uid="{B74252E1-0A81-4D1E-9308-A61FBCD8054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0" authorId="0" shapeId="0" xr:uid="{41768AD0-9CB2-4AD2-B2B8-36D99AEE4A6C}">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0" authorId="0" shapeId="0" xr:uid="{7806892F-D682-47D5-81BF-037B134E2A4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0" authorId="0" shapeId="0" xr:uid="{F17175BC-1724-43E3-9C44-241B79B25DC0}">
      <text>
        <r>
          <rPr>
            <sz val="8"/>
            <color indexed="81"/>
            <rFont val="Tahoma"/>
            <family val="2"/>
          </rPr>
          <t>The Fitting options are;
Face Fit
Recess Fit</t>
        </r>
      </text>
    </comment>
    <comment ref="K10" authorId="0" shapeId="0" xr:uid="{BBAEFCC1-7FDE-4981-8ECC-D74D9B1CEBD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0" authorId="0" shapeId="0" xr:uid="{BB8CA7EE-CFDA-4EA1-ABD4-84225A08D7D5}">
      <text>
        <r>
          <rPr>
            <sz val="8"/>
            <color indexed="81"/>
            <rFont val="Tahoma"/>
            <family val="2"/>
          </rPr>
          <t>The Head Box/Rail 
Colours for 
Multi Shades &amp; Triple Shades are;
Default
Beige
Black
Dark Brown
Grey
Ivory
Light Brown
White
The Head Box/Rail 
Colours for 
Roma Shades are;
N/A</t>
        </r>
      </text>
    </comment>
    <comment ref="M10" authorId="0" shapeId="0" xr:uid="{FA2F0465-762E-4BBD-9BBD-D164BE62B47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0" authorId="0" shapeId="0" xr:uid="{F6C03CB4-8EBA-4938-92E2-EA37F7F017BD}">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0" authorId="0" shapeId="0" xr:uid="{B54C122A-2FDA-4D43-B121-578F41D9B7A2}">
      <text>
        <r>
          <rPr>
            <sz val="8"/>
            <color indexed="81"/>
            <rFont val="Tahoma"/>
            <family val="2"/>
          </rPr>
          <t>The Chain Length 
options are; 
Default
500mm
750mm
1000mm
1250mm
1500mm
2000mm
Motorised;
N/A</t>
        </r>
      </text>
    </comment>
    <comment ref="P10" authorId="0" shapeId="0" xr:uid="{F28572D8-4C3C-4B23-817E-F242B3EE796F}">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0" authorId="0" shapeId="0" xr:uid="{300B7755-4E7E-4881-95CE-418EC8F497C4}">
      <text>
        <r>
          <rPr>
            <sz val="8"/>
            <color indexed="81"/>
            <rFont val="Tahoma"/>
            <family val="2"/>
          </rPr>
          <t>For Multi Shade and
Triple Shade,  
the  Fabric Insert  
options are;
Yes
For Roma Shade 
the  Fabric Insert  
options are;
N/A</t>
        </r>
      </text>
    </comment>
    <comment ref="R10" authorId="0" shapeId="0" xr:uid="{B94B2257-A51A-4128-AD5E-F07DA60F5204}">
      <text>
        <r>
          <rPr>
            <sz val="8"/>
            <color indexed="81"/>
            <rFont val="Tahoma"/>
            <family val="2"/>
          </rPr>
          <t>For Multi Shade, 
the options are;
Standard
Over Roll
For Triple Shade, 
the options are;
Standard
For Roma Shade 
the  options are;
N/A</t>
        </r>
      </text>
    </comment>
    <comment ref="T10" authorId="0" shapeId="0" xr:uid="{00000000-0006-0000-0800-000040000000}">
      <text>
        <r>
          <rPr>
            <sz val="8"/>
            <color indexed="81"/>
            <rFont val="Tahoma"/>
            <family val="2"/>
          </rPr>
          <t>Please use this section 
to specify 
any Special Requirements
for the Line/Order.</t>
        </r>
      </text>
    </comment>
    <comment ref="D11" authorId="0" shapeId="0" xr:uid="{D2691BAA-2C0E-473C-85CE-5D8DAD24F054}">
      <text>
        <r>
          <rPr>
            <sz val="8"/>
            <color indexed="81"/>
            <rFont val="Tahoma"/>
            <family val="2"/>
          </rPr>
          <t>The Products options are;
Multi Shade
Roma Shade
Triple Shade</t>
        </r>
      </text>
    </comment>
    <comment ref="E11" authorId="0" shapeId="0" xr:uid="{B9B80C9D-C48B-4071-B6A3-DC1C29E8069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1" authorId="0" shapeId="0" xr:uid="{AB1313E4-5F7F-4942-8250-F7F87E2FBB52}">
      <text>
        <r>
          <rPr>
            <sz val="8"/>
            <color indexed="81"/>
            <rFont val="Tahoma"/>
            <family val="2"/>
          </rPr>
          <t>The Colour can only be selected 
once the Product Type &amp; Finish has 
been entered.
Please refer to the Swatches.</t>
        </r>
      </text>
    </comment>
    <comment ref="G11" authorId="0" shapeId="0" xr:uid="{D89D541E-B85A-4F5E-BBDF-5E28F262C38E}">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1" authorId="0" shapeId="0" xr:uid="{29478CA6-5942-4DEC-9261-02B65366375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1" authorId="0" shapeId="0" xr:uid="{A204C869-496B-4DF9-AD02-3E213450D47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1" authorId="0" shapeId="0" xr:uid="{AC1207EE-F292-4B65-9C51-D6BDEAAAD35E}">
      <text>
        <r>
          <rPr>
            <sz val="8"/>
            <color indexed="81"/>
            <rFont val="Tahoma"/>
            <family val="2"/>
          </rPr>
          <t>The Fitting options are;
Face Fit
Recess Fit</t>
        </r>
      </text>
    </comment>
    <comment ref="K11" authorId="0" shapeId="0" xr:uid="{77E3C094-E254-4DE6-9FEA-CFB6F7FDB967}">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1" authorId="0" shapeId="0" xr:uid="{0D3AAA1A-51CE-46D2-B592-05C99AA215FC}">
      <text>
        <r>
          <rPr>
            <sz val="8"/>
            <color indexed="81"/>
            <rFont val="Tahoma"/>
            <family val="2"/>
          </rPr>
          <t>The Head Box/Rail 
Colours for 
Multi Shades &amp; Triple Shades are;
Default
Beige
Black
Dark Brown
Grey
Ivory
Light Brown
White
The Head Box/Rail 
Colours for 
Roma Shades are;
N/A</t>
        </r>
      </text>
    </comment>
    <comment ref="M11" authorId="0" shapeId="0" xr:uid="{2800ECFE-A2A4-4CDE-8F0D-4DFC19EEA6D9}">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1" authorId="0" shapeId="0" xr:uid="{451A8B45-6FF9-4E4E-B8AA-0C7F6F44F486}">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1" authorId="0" shapeId="0" xr:uid="{0A33324B-46BB-477C-B850-81B2EFC58A7D}">
      <text>
        <r>
          <rPr>
            <sz val="8"/>
            <color indexed="81"/>
            <rFont val="Tahoma"/>
            <family val="2"/>
          </rPr>
          <t>The Chain Length 
options are; 
Default
500mm
750mm
1000mm
1250mm
1500mm
2000mm
Motorised;
N/A</t>
        </r>
      </text>
    </comment>
    <comment ref="P11" authorId="0" shapeId="0" xr:uid="{F980A649-A295-4573-B981-879B674CAD4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1" authorId="0" shapeId="0" xr:uid="{C4978B1B-070B-4060-BBEB-1AB2BE9A0467}">
      <text>
        <r>
          <rPr>
            <sz val="8"/>
            <color indexed="81"/>
            <rFont val="Tahoma"/>
            <family val="2"/>
          </rPr>
          <t>For Multi Shade and
Triple Shade,  
the  Fabric Insert  
options are;
Yes
For Roma Shade 
the  Fabric Insert  
options are;
N/A</t>
        </r>
      </text>
    </comment>
    <comment ref="R11" authorId="0" shapeId="0" xr:uid="{8EBED5C8-C339-437C-B593-5E26EB475C6F}">
      <text>
        <r>
          <rPr>
            <sz val="8"/>
            <color indexed="81"/>
            <rFont val="Tahoma"/>
            <family val="2"/>
          </rPr>
          <t>For Multi Shade, 
the options are;
Standard
Over Roll
For Triple Shade, 
the options are;
Standard
For Roma Shade 
the  options are;
N/A</t>
        </r>
      </text>
    </comment>
    <comment ref="T11" authorId="0" shapeId="0" xr:uid="{00000000-0006-0000-0800-000050000000}">
      <text>
        <r>
          <rPr>
            <sz val="8"/>
            <color indexed="81"/>
            <rFont val="Tahoma"/>
            <family val="2"/>
          </rPr>
          <t>Please use this section 
to specify 
any Special Requirements
for the Line/Order.</t>
        </r>
      </text>
    </comment>
    <comment ref="D12" authorId="0" shapeId="0" xr:uid="{53686027-834B-4AC1-99FD-1E97319F8110}">
      <text>
        <r>
          <rPr>
            <sz val="8"/>
            <color indexed="81"/>
            <rFont val="Tahoma"/>
            <family val="2"/>
          </rPr>
          <t>The Products options are;
Multi Shade
Roma Shade
Triple Shade</t>
        </r>
      </text>
    </comment>
    <comment ref="E12" authorId="0" shapeId="0" xr:uid="{008203C7-B7EE-43F7-8A58-29AD5F39EF66}">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2" authorId="0" shapeId="0" xr:uid="{9522A794-3B38-4EED-B230-90705E93608B}">
      <text>
        <r>
          <rPr>
            <sz val="8"/>
            <color indexed="81"/>
            <rFont val="Tahoma"/>
            <family val="2"/>
          </rPr>
          <t>The Colour can only be selected 
once the Product Type &amp; Finish has 
been entered.
Please refer to the Swatches.</t>
        </r>
      </text>
    </comment>
    <comment ref="G12" authorId="0" shapeId="0" xr:uid="{BB15F9B6-07C3-409A-854E-D0203DF1ABC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2" authorId="0" shapeId="0" xr:uid="{0376C924-E043-4AD6-B04E-87D0D5C40ED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2" authorId="0" shapeId="0" xr:uid="{1552CCBC-BA04-48AA-890A-3D805997D08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2" authorId="0" shapeId="0" xr:uid="{47E5181E-D587-475C-B637-8F8B75DA33EA}">
      <text>
        <r>
          <rPr>
            <sz val="8"/>
            <color indexed="81"/>
            <rFont val="Tahoma"/>
            <family val="2"/>
          </rPr>
          <t>The Fitting options are;
Face Fit
Recess Fit</t>
        </r>
      </text>
    </comment>
    <comment ref="K12" authorId="0" shapeId="0" xr:uid="{9922B492-36A0-488E-A1AB-344275F8A3F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2" authorId="0" shapeId="0" xr:uid="{10621BA9-D436-401A-AF38-838252672FCA}">
      <text>
        <r>
          <rPr>
            <sz val="8"/>
            <color indexed="81"/>
            <rFont val="Tahoma"/>
            <family val="2"/>
          </rPr>
          <t>The Head Box/Rail 
Colours for 
Multi Shades &amp; Triple Shades are;
Default
Beige
Black
Dark Brown
Grey
Ivory
Light Brown
White
The Head Box/Rail 
Colours for 
Roma Shades are;
N/A</t>
        </r>
      </text>
    </comment>
    <comment ref="M12" authorId="0" shapeId="0" xr:uid="{36EA541E-FB79-431B-8081-DF6F2C86116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2" authorId="0" shapeId="0" xr:uid="{B4871C20-E5A1-4538-81C2-7028898272A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2" authorId="0" shapeId="0" xr:uid="{11F11D05-8BCC-461F-A880-37F344C0A4FE}">
      <text>
        <r>
          <rPr>
            <sz val="8"/>
            <color indexed="81"/>
            <rFont val="Tahoma"/>
            <family val="2"/>
          </rPr>
          <t>The Chain Length 
options are; 
Default
500mm
750mm
1000mm
1250mm
1500mm
2000mm
Motorised;
N/A</t>
        </r>
      </text>
    </comment>
    <comment ref="P12" authorId="0" shapeId="0" xr:uid="{A4145C66-EB03-45A9-91DB-64B1B33BBEAE}">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2" authorId="0" shapeId="0" xr:uid="{4E109617-640E-4ADF-9DAC-7F0A0BBB5873}">
      <text>
        <r>
          <rPr>
            <sz val="8"/>
            <color indexed="81"/>
            <rFont val="Tahoma"/>
            <family val="2"/>
          </rPr>
          <t>For Multi Shade and
Triple Shade,  
the  Fabric Insert  
options are;
Yes
For Roma Shade 
the  Fabric Insert  
options are;
N/A</t>
        </r>
      </text>
    </comment>
    <comment ref="R12" authorId="0" shapeId="0" xr:uid="{622C145A-2B1A-4A1E-B5A3-6F0E9F07120A}">
      <text>
        <r>
          <rPr>
            <sz val="8"/>
            <color indexed="81"/>
            <rFont val="Tahoma"/>
            <family val="2"/>
          </rPr>
          <t>For Multi Shade, 
the options are;
Standard
Over Roll
For Triple Shade, 
the options are;
Standard
For Roma Shade 
the  options are;
N/A</t>
        </r>
      </text>
    </comment>
    <comment ref="T12" authorId="0" shapeId="0" xr:uid="{00000000-0006-0000-0800-000060000000}">
      <text>
        <r>
          <rPr>
            <sz val="8"/>
            <color indexed="81"/>
            <rFont val="Tahoma"/>
            <family val="2"/>
          </rPr>
          <t>Please use this section 
to specify 
any Special Requirements
for the Line/Order.</t>
        </r>
      </text>
    </comment>
    <comment ref="D13" authorId="0" shapeId="0" xr:uid="{CBC8FA02-69FE-4F43-9F54-3205B23CAD10}">
      <text>
        <r>
          <rPr>
            <sz val="8"/>
            <color indexed="81"/>
            <rFont val="Tahoma"/>
            <family val="2"/>
          </rPr>
          <t>The Products options are;
Multi Shade
Roma Shade
Triple Shade</t>
        </r>
      </text>
    </comment>
    <comment ref="E13" authorId="0" shapeId="0" xr:uid="{6B9C0BED-BA59-45AC-8B93-07B411FF1FB9}">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3" authorId="0" shapeId="0" xr:uid="{1CE40189-3515-4A3F-8E20-5EA345F6F63B}">
      <text>
        <r>
          <rPr>
            <sz val="8"/>
            <color indexed="81"/>
            <rFont val="Tahoma"/>
            <family val="2"/>
          </rPr>
          <t>The Colour can only be selected 
once the Product Type &amp; Finish has 
been entered.
Please refer to the Swatches.</t>
        </r>
      </text>
    </comment>
    <comment ref="G13" authorId="0" shapeId="0" xr:uid="{26C7F4F1-8D0B-4369-9C2D-B91A6E046404}">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3" authorId="0" shapeId="0" xr:uid="{D35E66FA-298B-4DAE-ADF5-BE09CE6B64CC}">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3" authorId="0" shapeId="0" xr:uid="{F3A23465-5EAE-49B7-801D-20932EA5F7C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3" authorId="0" shapeId="0" xr:uid="{AD2BF419-8690-48B3-AEDA-76B2EFA3705A}">
      <text>
        <r>
          <rPr>
            <sz val="8"/>
            <color indexed="81"/>
            <rFont val="Tahoma"/>
            <family val="2"/>
          </rPr>
          <t>The Fitting options are;
Face Fit
Recess Fit</t>
        </r>
      </text>
    </comment>
    <comment ref="K13" authorId="0" shapeId="0" xr:uid="{54145ED8-EF4D-49CF-B9C4-182B1DA5D2F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3" authorId="0" shapeId="0" xr:uid="{F7E27D51-D5ED-493D-A5DA-79CA755B7E35}">
      <text>
        <r>
          <rPr>
            <sz val="8"/>
            <color indexed="81"/>
            <rFont val="Tahoma"/>
            <family val="2"/>
          </rPr>
          <t>The Head Box/Rail 
Colours for 
Multi Shades &amp; Triple Shades are;
Default
Beige
Black
Dark Brown
Grey
Ivory
Light Brown
White
The Head Box/Rail 
Colours for 
Roma Shades are;
N/A</t>
        </r>
      </text>
    </comment>
    <comment ref="M13" authorId="0" shapeId="0" xr:uid="{E7D363A7-F483-4DAE-896B-8FE3F346C45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3" authorId="0" shapeId="0" xr:uid="{4609935E-7D53-465F-939C-439AC20A75CD}">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3" authorId="0" shapeId="0" xr:uid="{7174EAD1-C97C-4A1F-B38D-7E481F2C53C6}">
      <text>
        <r>
          <rPr>
            <sz val="8"/>
            <color indexed="81"/>
            <rFont val="Tahoma"/>
            <family val="2"/>
          </rPr>
          <t>The Chain Length 
options are; 
Default
500mm
750mm
1000mm
1250mm
1500mm
2000mm
Motorised;
N/A</t>
        </r>
      </text>
    </comment>
    <comment ref="P13" authorId="0" shapeId="0" xr:uid="{3987B6F0-CC51-48DB-95A1-46B9E76B7CA5}">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3" authorId="0" shapeId="0" xr:uid="{C6965C52-FBC7-4AF9-9C2D-1B410A75273D}">
      <text>
        <r>
          <rPr>
            <sz val="8"/>
            <color indexed="81"/>
            <rFont val="Tahoma"/>
            <family val="2"/>
          </rPr>
          <t>For Multi Shade and
Triple Shade,  
the  Fabric Insert  
options are;
Yes
For Roma Shade 
the  Fabric Insert  
options are;
N/A</t>
        </r>
      </text>
    </comment>
    <comment ref="R13" authorId="0" shapeId="0" xr:uid="{4D3882C3-E572-452D-90E8-775ED41467F9}">
      <text>
        <r>
          <rPr>
            <sz val="8"/>
            <color indexed="81"/>
            <rFont val="Tahoma"/>
            <family val="2"/>
          </rPr>
          <t>For Multi Shade, 
the options are;
Standard
Over Roll
For Triple Shade, 
the options are;
Standard
For Roma Shade 
the  options are;
N/A</t>
        </r>
      </text>
    </comment>
    <comment ref="T13" authorId="0" shapeId="0" xr:uid="{00000000-0006-0000-0800-000070000000}">
      <text>
        <r>
          <rPr>
            <sz val="8"/>
            <color indexed="81"/>
            <rFont val="Tahoma"/>
            <family val="2"/>
          </rPr>
          <t>Please use this section 
to specify 
any Special Requirements
for the Line/Order.</t>
        </r>
      </text>
    </comment>
    <comment ref="D14" authorId="0" shapeId="0" xr:uid="{9C3991D7-C61B-46D6-8F03-101B37509CEA}">
      <text>
        <r>
          <rPr>
            <sz val="8"/>
            <color indexed="81"/>
            <rFont val="Tahoma"/>
            <family val="2"/>
          </rPr>
          <t>The Products options are;
Multi Shade
Roma Shade
Triple Shade</t>
        </r>
      </text>
    </comment>
    <comment ref="E14" authorId="0" shapeId="0" xr:uid="{8BFBA3FA-7382-4AD7-83AE-955D20499B8A}">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4" authorId="0" shapeId="0" xr:uid="{C6018E02-EA57-4FD3-B40B-AFD3C29AA535}">
      <text>
        <r>
          <rPr>
            <sz val="8"/>
            <color indexed="81"/>
            <rFont val="Tahoma"/>
            <family val="2"/>
          </rPr>
          <t>The Colour can only be selected 
once the Product Type &amp; Finish has 
been entered.
Please refer to the Swatches.</t>
        </r>
      </text>
    </comment>
    <comment ref="G14" authorId="0" shapeId="0" xr:uid="{0D1C270A-3476-40E1-ADC0-EB70BE8D68F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4" authorId="0" shapeId="0" xr:uid="{47734498-B679-4E91-BF67-2958B44E8633}">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4" authorId="0" shapeId="0" xr:uid="{9F9A0B24-2D1F-441C-AB9D-76FC284632E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4" authorId="0" shapeId="0" xr:uid="{702E4282-6480-4A36-85C8-0151CBAE09D9}">
      <text>
        <r>
          <rPr>
            <sz val="8"/>
            <color indexed="81"/>
            <rFont val="Tahoma"/>
            <family val="2"/>
          </rPr>
          <t>The Fitting options are;
Face Fit
Recess Fit</t>
        </r>
      </text>
    </comment>
    <comment ref="K14" authorId="0" shapeId="0" xr:uid="{2A76B6ED-50F0-475B-9CF7-E4848790D4B1}">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4" authorId="0" shapeId="0" xr:uid="{E52F6CD2-8D5C-48E0-AA37-292F2E965C7C}">
      <text>
        <r>
          <rPr>
            <sz val="8"/>
            <color indexed="81"/>
            <rFont val="Tahoma"/>
            <family val="2"/>
          </rPr>
          <t>The Head Box/Rail 
Colours for 
Multi Shades &amp; Triple Shades are;
Default
Beige
Black
Dark Brown
Grey
Ivory
Light Brown
White
The Head Box/Rail 
Colours for 
Roma Shades are;
N/A</t>
        </r>
      </text>
    </comment>
    <comment ref="M14" authorId="0" shapeId="0" xr:uid="{03AC9D6B-4756-469C-8F75-E4487B03A65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4" authorId="0" shapeId="0" xr:uid="{F0558582-49D9-43B9-BCAF-F81AF3F0DACB}">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4" authorId="0" shapeId="0" xr:uid="{3BA5D290-045E-4213-897E-7BDAB572EC3C}">
      <text>
        <r>
          <rPr>
            <sz val="8"/>
            <color indexed="81"/>
            <rFont val="Tahoma"/>
            <family val="2"/>
          </rPr>
          <t>The Chain Length 
options are; 
Default
500mm
750mm
1000mm
1250mm
1500mm
2000mm
Motorised;
N/A</t>
        </r>
      </text>
    </comment>
    <comment ref="P14" authorId="0" shapeId="0" xr:uid="{6DCEFD36-537F-4834-9BD9-C1D3EF4CDE2A}">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4" authorId="0" shapeId="0" xr:uid="{5188D9B5-0C03-4044-BA22-34A8213564F2}">
      <text>
        <r>
          <rPr>
            <sz val="8"/>
            <color indexed="81"/>
            <rFont val="Tahoma"/>
            <family val="2"/>
          </rPr>
          <t>For Multi Shade and
Triple Shade,  
the  Fabric Insert  
options are;
Yes
For Roma Shade 
the  Fabric Insert  
options are;
N/A</t>
        </r>
      </text>
    </comment>
    <comment ref="R14" authorId="0" shapeId="0" xr:uid="{965769D7-2931-4F21-AEB5-3E5E81230E8B}">
      <text>
        <r>
          <rPr>
            <sz val="8"/>
            <color indexed="81"/>
            <rFont val="Tahoma"/>
            <family val="2"/>
          </rPr>
          <t>For Multi Shade, 
the options are;
Standard
Over Roll
For Triple Shade, 
the options are;
Standard
For Roma Shade 
the  options are;
N/A</t>
        </r>
      </text>
    </comment>
    <comment ref="T14" authorId="0" shapeId="0" xr:uid="{00000000-0006-0000-0800-000080000000}">
      <text>
        <r>
          <rPr>
            <sz val="8"/>
            <color indexed="81"/>
            <rFont val="Tahoma"/>
            <family val="2"/>
          </rPr>
          <t>Please use this section 
to specify 
any Special Requirements
for the Line/Order.</t>
        </r>
      </text>
    </comment>
    <comment ref="D15" authorId="0" shapeId="0" xr:uid="{344D924A-21A2-4AAC-9CAC-CEA91A09AD55}">
      <text>
        <r>
          <rPr>
            <sz val="8"/>
            <color indexed="81"/>
            <rFont val="Tahoma"/>
            <family val="2"/>
          </rPr>
          <t>The Products options are;
Multi Shade
Roma Shade
Triple Shade</t>
        </r>
      </text>
    </comment>
    <comment ref="E15" authorId="0" shapeId="0" xr:uid="{9E7CFC5A-1991-4572-BC17-540F507C6009}">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5" authorId="0" shapeId="0" xr:uid="{07B8E650-8B9E-415F-B978-AE48FCD007AA}">
      <text>
        <r>
          <rPr>
            <sz val="8"/>
            <color indexed="81"/>
            <rFont val="Tahoma"/>
            <family val="2"/>
          </rPr>
          <t>The Colour can only be selected 
once the Product Type &amp; Finish has 
been entered.
Please refer to the Swatches.</t>
        </r>
      </text>
    </comment>
    <comment ref="G15" authorId="0" shapeId="0" xr:uid="{9AC5B3BE-CF90-43CA-98C0-635D2779628A}">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5" authorId="0" shapeId="0" xr:uid="{5102EADA-96D7-4E37-A981-540618A878C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5" authorId="0" shapeId="0" xr:uid="{7A4D91DE-F56B-4134-87A7-723101DD7EC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5" authorId="0" shapeId="0" xr:uid="{A54F4BEE-5997-46FC-91A5-293687E06E45}">
      <text>
        <r>
          <rPr>
            <sz val="8"/>
            <color indexed="81"/>
            <rFont val="Tahoma"/>
            <family val="2"/>
          </rPr>
          <t>The Fitting options are;
Face Fit
Recess Fit</t>
        </r>
      </text>
    </comment>
    <comment ref="K15" authorId="0" shapeId="0" xr:uid="{437A735D-41F5-4504-B0D4-844DC5B0607D}">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5" authorId="0" shapeId="0" xr:uid="{F741A7E0-FB8C-4077-8EFF-B98B4B9E0407}">
      <text>
        <r>
          <rPr>
            <sz val="8"/>
            <color indexed="81"/>
            <rFont val="Tahoma"/>
            <family val="2"/>
          </rPr>
          <t>The Head Box/Rail 
Colours for 
Multi Shades &amp; Triple Shades are;
Default
Beige
Black
Dark Brown
Grey
Ivory
Light Brown
White
The Head Box/Rail 
Colours for 
Roma Shades are;
N/A</t>
        </r>
      </text>
    </comment>
    <comment ref="M15" authorId="0" shapeId="0" xr:uid="{02022E3C-71B5-4A8D-BDE1-A4324670860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5" authorId="0" shapeId="0" xr:uid="{4B9F2003-6EA5-4DB4-8FBA-9DA38AADADF0}">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5" authorId="0" shapeId="0" xr:uid="{0736FBDA-A8A7-4420-8C9E-6FEDDB6451D6}">
      <text>
        <r>
          <rPr>
            <sz val="8"/>
            <color indexed="81"/>
            <rFont val="Tahoma"/>
            <family val="2"/>
          </rPr>
          <t>The Chain Length 
options are; 
Default
500mm
750mm
1000mm
1250mm
1500mm
2000mm
Motorised;
N/A</t>
        </r>
      </text>
    </comment>
    <comment ref="P15" authorId="0" shapeId="0" xr:uid="{717682AF-B5C1-4FFB-8265-F0E7E001279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5" authorId="0" shapeId="0" xr:uid="{2A9B3B4D-E52A-4BA0-8325-E03F1605CD6A}">
      <text>
        <r>
          <rPr>
            <sz val="8"/>
            <color indexed="81"/>
            <rFont val="Tahoma"/>
            <family val="2"/>
          </rPr>
          <t>For Multi Shade and
Triple Shade,  
the  Fabric Insert  
options are;
Yes
For Roma Shade 
the  Fabric Insert  
options are;
N/A</t>
        </r>
      </text>
    </comment>
    <comment ref="R15" authorId="0" shapeId="0" xr:uid="{AC4A3D4B-AE99-4DA7-92CE-26D583A7A33A}">
      <text>
        <r>
          <rPr>
            <sz val="8"/>
            <color indexed="81"/>
            <rFont val="Tahoma"/>
            <family val="2"/>
          </rPr>
          <t>For Multi Shade, 
the options are;
Standard
Over Roll
For Triple Shade, 
the options are;
Standard
For Roma Shade 
the  options are;
N/A</t>
        </r>
      </text>
    </comment>
    <comment ref="T15" authorId="0" shapeId="0" xr:uid="{00000000-0006-0000-0800-000090000000}">
      <text>
        <r>
          <rPr>
            <sz val="8"/>
            <color indexed="81"/>
            <rFont val="Tahoma"/>
            <family val="2"/>
          </rPr>
          <t>Please use this section 
to specify 
any Special Requirements
for the Line/Order.</t>
        </r>
      </text>
    </comment>
    <comment ref="D16" authorId="0" shapeId="0" xr:uid="{50BEF5F5-100B-4F3E-A9BE-6B41E761327A}">
      <text>
        <r>
          <rPr>
            <sz val="8"/>
            <color indexed="81"/>
            <rFont val="Tahoma"/>
            <family val="2"/>
          </rPr>
          <t>The Products options are;
Multi Shade
Roma Shade
Triple Shade</t>
        </r>
      </text>
    </comment>
    <comment ref="E16" authorId="0" shapeId="0" xr:uid="{BF0C2118-D5BA-4A93-B7D7-C5C2B8F42E4B}">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6" authorId="0" shapeId="0" xr:uid="{04EB3348-A897-47AE-85FE-7FB1FF616CB2}">
      <text>
        <r>
          <rPr>
            <sz val="8"/>
            <color indexed="81"/>
            <rFont val="Tahoma"/>
            <family val="2"/>
          </rPr>
          <t>The Colour can only be selected 
once the Product Type &amp; Finish has 
been entered.
Please refer to the Swatches.</t>
        </r>
      </text>
    </comment>
    <comment ref="G16" authorId="0" shapeId="0" xr:uid="{EF96475E-9521-467D-9021-0C30CD644F99}">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6" authorId="0" shapeId="0" xr:uid="{3745C342-5F47-4AE5-BA6C-D1BA9595F914}">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6" authorId="0" shapeId="0" xr:uid="{1C71937C-B045-4AED-B03E-02C63BB029F7}">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6" authorId="0" shapeId="0" xr:uid="{117157BC-EB6C-4A5D-98A5-1383FA591BE9}">
      <text>
        <r>
          <rPr>
            <sz val="8"/>
            <color indexed="81"/>
            <rFont val="Tahoma"/>
            <family val="2"/>
          </rPr>
          <t>The Fitting options are;
Face Fit
Recess Fit</t>
        </r>
      </text>
    </comment>
    <comment ref="K16" authorId="0" shapeId="0" xr:uid="{29681BEE-EA10-4AE6-8156-B62F3AF0763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6" authorId="0" shapeId="0" xr:uid="{C24F1A2E-5484-4B1E-BFC5-7F42B7C73F0C}">
      <text>
        <r>
          <rPr>
            <sz val="8"/>
            <color indexed="81"/>
            <rFont val="Tahoma"/>
            <family val="2"/>
          </rPr>
          <t>The Head Box/Rail 
Colours for 
Multi Shades &amp; Triple Shades are;
Default
Beige
Black
Dark Brown
Grey
Ivory
Light Brown
White
The Head Box/Rail 
Colours for 
Roma Shades are;
N/A</t>
        </r>
      </text>
    </comment>
    <comment ref="M16" authorId="0" shapeId="0" xr:uid="{D5724394-B949-481A-8ECE-957042C3AD8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6" authorId="0" shapeId="0" xr:uid="{18467CB4-680F-4F2F-9C44-3EEC307FC27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6" authorId="0" shapeId="0" xr:uid="{D17C1B56-E58F-4A43-9C8C-91ED49583D43}">
      <text>
        <r>
          <rPr>
            <sz val="8"/>
            <color indexed="81"/>
            <rFont val="Tahoma"/>
            <family val="2"/>
          </rPr>
          <t>The Chain Length 
options are; 
Default
500mm
750mm
1000mm
1250mm
1500mm
2000mm
Motorised;
N/A</t>
        </r>
      </text>
    </comment>
    <comment ref="P16" authorId="0" shapeId="0" xr:uid="{3F403F94-0FA6-4DC6-974E-11A8881901B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6" authorId="0" shapeId="0" xr:uid="{A8D8D107-C34D-4317-AD9C-B3D1944F1EB3}">
      <text>
        <r>
          <rPr>
            <sz val="8"/>
            <color indexed="81"/>
            <rFont val="Tahoma"/>
            <family val="2"/>
          </rPr>
          <t>For Multi Shade and
Triple Shade,  
the  Fabric Insert  
options are;
Yes
For Roma Shade 
the  Fabric Insert  
options are;
N/A</t>
        </r>
      </text>
    </comment>
    <comment ref="R16" authorId="0" shapeId="0" xr:uid="{9049A243-B968-48B5-AAF8-914C400DA2A0}">
      <text>
        <r>
          <rPr>
            <sz val="8"/>
            <color indexed="81"/>
            <rFont val="Tahoma"/>
            <family val="2"/>
          </rPr>
          <t>For Multi Shade, 
the options are;
Standard
Over Roll
For Triple Shade, 
the options are;
Standard
For Roma Shade 
the  options are;
N/A</t>
        </r>
      </text>
    </comment>
    <comment ref="T16" authorId="0" shapeId="0" xr:uid="{00000000-0006-0000-0800-0000A0000000}">
      <text>
        <r>
          <rPr>
            <sz val="8"/>
            <color indexed="81"/>
            <rFont val="Tahoma"/>
            <family val="2"/>
          </rPr>
          <t>Please use this section 
to specify 
any Special Requirements
for the Line/Order.</t>
        </r>
      </text>
    </comment>
    <comment ref="D17" authorId="0" shapeId="0" xr:uid="{7721B7DB-470E-4C98-AC89-CF93B32CDE09}">
      <text>
        <r>
          <rPr>
            <sz val="8"/>
            <color indexed="81"/>
            <rFont val="Tahoma"/>
            <family val="2"/>
          </rPr>
          <t>The Products options are;
Multi Shade
Roma Shade
Triple Shade</t>
        </r>
      </text>
    </comment>
    <comment ref="E17" authorId="0" shapeId="0" xr:uid="{27721C05-A620-480D-BA0E-3862A08A071E}">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7" authorId="0" shapeId="0" xr:uid="{C35602B6-CE98-49F4-B11E-E1C122A11203}">
      <text>
        <r>
          <rPr>
            <sz val="8"/>
            <color indexed="81"/>
            <rFont val="Tahoma"/>
            <family val="2"/>
          </rPr>
          <t>The Colour can only be selected 
once the Product Type &amp; Finish has 
been entered.
Please refer to the Swatches.</t>
        </r>
      </text>
    </comment>
    <comment ref="G17" authorId="0" shapeId="0" xr:uid="{AE584AFC-3D21-488F-986C-6DEF291245D2}">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7" authorId="0" shapeId="0" xr:uid="{E590C755-FF54-44E6-BDB0-92F787D894C5}">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7" authorId="0" shapeId="0" xr:uid="{A5F2D8D2-0047-49B6-B398-96C52B2FEE2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7" authorId="0" shapeId="0" xr:uid="{CAC4639C-1E4C-433F-B740-0DD9DAC8D348}">
      <text>
        <r>
          <rPr>
            <sz val="8"/>
            <color indexed="81"/>
            <rFont val="Tahoma"/>
            <family val="2"/>
          </rPr>
          <t>The Fitting options are;
Face Fit
Recess Fit</t>
        </r>
      </text>
    </comment>
    <comment ref="K17" authorId="0" shapeId="0" xr:uid="{6AA474D6-B7BC-4B00-9BDE-6409E705DE01}">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7" authorId="0" shapeId="0" xr:uid="{9CCD0971-A870-4FF7-9AB5-E9A986D900E9}">
      <text>
        <r>
          <rPr>
            <sz val="8"/>
            <color indexed="81"/>
            <rFont val="Tahoma"/>
            <family val="2"/>
          </rPr>
          <t>The Head Box/Rail 
Colours for 
Multi Shades &amp; Triple Shades are;
Default
Beige
Black
Dark Brown
Grey
Ivory
Light Brown
White
The Head Box/Rail 
Colours for 
Roma Shades are;
N/A</t>
        </r>
      </text>
    </comment>
    <comment ref="M17" authorId="0" shapeId="0" xr:uid="{48DD22D6-5D21-4C70-859D-B06EFF389C2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7" authorId="0" shapeId="0" xr:uid="{92A37A04-1EAD-4C60-8422-233C95F88BA3}">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7" authorId="0" shapeId="0" xr:uid="{99BF10D0-14A1-4DD2-B91A-27AFBF052D81}">
      <text>
        <r>
          <rPr>
            <sz val="8"/>
            <color indexed="81"/>
            <rFont val="Tahoma"/>
            <family val="2"/>
          </rPr>
          <t>The Chain Length 
options are; 
Default
500mm
750mm
1000mm
1250mm
1500mm
2000mm
Motorised;
N/A</t>
        </r>
      </text>
    </comment>
    <comment ref="P17" authorId="0" shapeId="0" xr:uid="{80E92D3C-009D-4E40-B658-1AECDEB7FC9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7" authorId="0" shapeId="0" xr:uid="{648D7C41-63E5-4B06-A1A4-90128F1234B5}">
      <text>
        <r>
          <rPr>
            <sz val="8"/>
            <color indexed="81"/>
            <rFont val="Tahoma"/>
            <family val="2"/>
          </rPr>
          <t>For Multi Shade and
Triple Shade,  
the  Fabric Insert  
options are;
Yes
For Roma Shade 
the  Fabric Insert  
options are;
N/A</t>
        </r>
      </text>
    </comment>
    <comment ref="R17" authorId="0" shapeId="0" xr:uid="{A5230E2C-850A-4C37-8B44-2928B689FACB}">
      <text>
        <r>
          <rPr>
            <sz val="8"/>
            <color indexed="81"/>
            <rFont val="Tahoma"/>
            <family val="2"/>
          </rPr>
          <t>For Multi Shade, 
the options are;
Standard
Over Roll
For Triple Shade, 
the options are;
Standard
For Roma Shade 
the  options are;
N/A</t>
        </r>
      </text>
    </comment>
    <comment ref="T17" authorId="0" shapeId="0" xr:uid="{00000000-0006-0000-0800-0000B0000000}">
      <text>
        <r>
          <rPr>
            <sz val="8"/>
            <color indexed="81"/>
            <rFont val="Tahoma"/>
            <family val="2"/>
          </rPr>
          <t>Please use this section 
to specify 
any Special Requirements
for the Line/Order.</t>
        </r>
      </text>
    </comment>
    <comment ref="D18" authorId="0" shapeId="0" xr:uid="{10F80D27-517A-41F6-8893-52C8A3C88564}">
      <text>
        <r>
          <rPr>
            <sz val="8"/>
            <color indexed="81"/>
            <rFont val="Tahoma"/>
            <family val="2"/>
          </rPr>
          <t>The Products options are;
Multi Shade
Roma Shade
Triple Shade</t>
        </r>
      </text>
    </comment>
    <comment ref="E18" authorId="0" shapeId="0" xr:uid="{745AFF54-4C59-478A-B5D1-8C65886F3822}">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8" authorId="0" shapeId="0" xr:uid="{528BAE96-5FEF-400A-8511-59CA014545E3}">
      <text>
        <r>
          <rPr>
            <sz val="8"/>
            <color indexed="81"/>
            <rFont val="Tahoma"/>
            <family val="2"/>
          </rPr>
          <t>The Colour can only be selected 
once the Product Type &amp; Finish has 
been entered.
Please refer to the Swatches.</t>
        </r>
      </text>
    </comment>
    <comment ref="G18" authorId="0" shapeId="0" xr:uid="{A7BEAA11-FD21-4DDD-A34F-4D95F2C52D1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8" authorId="0" shapeId="0" xr:uid="{34C21BAD-36F0-462B-B218-99B03B4C582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8" authorId="0" shapeId="0" xr:uid="{300B7943-2F52-4E64-95FF-781BF4187A0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8" authorId="0" shapeId="0" xr:uid="{8EAFF961-5350-40AC-BDBF-4C4342DEFCA4}">
      <text>
        <r>
          <rPr>
            <sz val="8"/>
            <color indexed="81"/>
            <rFont val="Tahoma"/>
            <family val="2"/>
          </rPr>
          <t>The Fitting options are;
Face Fit
Recess Fit</t>
        </r>
      </text>
    </comment>
    <comment ref="K18" authorId="0" shapeId="0" xr:uid="{2124314C-F236-4342-803A-A6B41FEF339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8" authorId="0" shapeId="0" xr:uid="{66193A90-715B-4570-AFE1-07DD9BC68374}">
      <text>
        <r>
          <rPr>
            <sz val="8"/>
            <color indexed="81"/>
            <rFont val="Tahoma"/>
            <family val="2"/>
          </rPr>
          <t>The Head Box/Rail 
Colours for 
Multi Shades &amp; Triple Shades are;
Default
Beige
Black
Dark Brown
Grey
Ivory
Light Brown
White
The Head Box/Rail 
Colours for 
Roma Shades are;
N/A</t>
        </r>
      </text>
    </comment>
    <comment ref="M18" authorId="0" shapeId="0" xr:uid="{A27849E5-5A15-45A6-8799-66BAF8B6EFF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8" authorId="0" shapeId="0" xr:uid="{73B6A7DA-55C5-4288-AFDC-68E152B00A39}">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8" authorId="0" shapeId="0" xr:uid="{B5A346BD-EAED-467C-BFA3-81B72DA11D82}">
      <text>
        <r>
          <rPr>
            <sz val="8"/>
            <color indexed="81"/>
            <rFont val="Tahoma"/>
            <family val="2"/>
          </rPr>
          <t>The Chain Length 
options are; 
Default
500mm
750mm
1000mm
1250mm
1500mm
2000mm
Motorised;
N/A</t>
        </r>
      </text>
    </comment>
    <comment ref="P18" authorId="0" shapeId="0" xr:uid="{9322A684-67F3-493A-9145-18B264A9C1B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8" authorId="0" shapeId="0" xr:uid="{469CE7D9-8044-4F00-B511-83DE265E6B23}">
      <text>
        <r>
          <rPr>
            <sz val="8"/>
            <color indexed="81"/>
            <rFont val="Tahoma"/>
            <family val="2"/>
          </rPr>
          <t>For Multi Shade and
Triple Shade,  
the  Fabric Insert  
options are;
Yes
For Roma Shade 
the  Fabric Insert  
options are;
N/A</t>
        </r>
      </text>
    </comment>
    <comment ref="R18" authorId="0" shapeId="0" xr:uid="{A179BA32-981F-4E44-8381-D7B960B18496}">
      <text>
        <r>
          <rPr>
            <sz val="8"/>
            <color indexed="81"/>
            <rFont val="Tahoma"/>
            <family val="2"/>
          </rPr>
          <t>For Multi Shade, 
the options are;
Standard
Over Roll
For Triple Shade, 
the options are;
Standard
For Roma Shade 
the  options are;
N/A</t>
        </r>
      </text>
    </comment>
    <comment ref="T18" authorId="0" shapeId="0" xr:uid="{00000000-0006-0000-0800-0000C0000000}">
      <text>
        <r>
          <rPr>
            <sz val="8"/>
            <color indexed="81"/>
            <rFont val="Tahoma"/>
            <family val="2"/>
          </rPr>
          <t>Please use this section 
to specify 
any Special Requirements
for the Line/Order.</t>
        </r>
      </text>
    </comment>
    <comment ref="D19" authorId="0" shapeId="0" xr:uid="{DFB11FB4-9408-4E2F-8BFE-8B47DA971E62}">
      <text>
        <r>
          <rPr>
            <sz val="8"/>
            <color indexed="81"/>
            <rFont val="Tahoma"/>
            <family val="2"/>
          </rPr>
          <t>The Products options are;
Multi Shade
Roma Shade
Triple Shade</t>
        </r>
      </text>
    </comment>
    <comment ref="E19" authorId="0" shapeId="0" xr:uid="{EAECD8D1-EC12-40B7-AD49-6AA40B6DFBE1}">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9" authorId="0" shapeId="0" xr:uid="{8705B507-2E5B-4C3D-8BD8-74B6D5A3A4E1}">
      <text>
        <r>
          <rPr>
            <sz val="8"/>
            <color indexed="81"/>
            <rFont val="Tahoma"/>
            <family val="2"/>
          </rPr>
          <t>The Colour can only be selected 
once the Product Type &amp; Finish has 
been entered.
Please refer to the Swatches.</t>
        </r>
      </text>
    </comment>
    <comment ref="G19" authorId="0" shapeId="0" xr:uid="{855E1164-EBD9-41C9-B7EF-1E14B6D1D46B}">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9" authorId="0" shapeId="0" xr:uid="{24BC0B36-9592-46CA-9621-A7AA40EECDEE}">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9" authorId="0" shapeId="0" xr:uid="{AAF04E6C-F69B-4056-9596-0A5A228C79D9}">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9" authorId="0" shapeId="0" xr:uid="{05AA8868-A0E6-446D-A2C6-EC240903871B}">
      <text>
        <r>
          <rPr>
            <sz val="8"/>
            <color indexed="81"/>
            <rFont val="Tahoma"/>
            <family val="2"/>
          </rPr>
          <t>The Fitting options are;
Face Fit
Recess Fit</t>
        </r>
      </text>
    </comment>
    <comment ref="K19" authorId="0" shapeId="0" xr:uid="{05F13104-3260-470F-AEC5-02B1ACB19E34}">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9" authorId="0" shapeId="0" xr:uid="{13766E28-05B1-42B8-8658-3C76D3D12E21}">
      <text>
        <r>
          <rPr>
            <sz val="8"/>
            <color indexed="81"/>
            <rFont val="Tahoma"/>
            <family val="2"/>
          </rPr>
          <t>The Head Box/Rail 
Colours for 
Multi Shades &amp; Triple Shades are;
Default
Beige
Black
Dark Brown
Grey
Ivory
Light Brown
White
The Head Box/Rail 
Colours for 
Roma Shades are;
N/A</t>
        </r>
      </text>
    </comment>
    <comment ref="M19" authorId="0" shapeId="0" xr:uid="{071AD1FD-FF1D-4B06-9A9B-A0807651CCA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9" authorId="0" shapeId="0" xr:uid="{A0FB0049-1241-4825-AFA5-4CEFD181FA89}">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9" authorId="0" shapeId="0" xr:uid="{CD01CD18-BB49-4F1F-89FE-37F1930372D2}">
      <text>
        <r>
          <rPr>
            <sz val="8"/>
            <color indexed="81"/>
            <rFont val="Tahoma"/>
            <family val="2"/>
          </rPr>
          <t>The Chain Length 
options are; 
Default
500mm
750mm
1000mm
1250mm
1500mm
2000mm
Motorised;
N/A</t>
        </r>
      </text>
    </comment>
    <comment ref="P19" authorId="0" shapeId="0" xr:uid="{BE2E2940-3791-4262-A82D-ACFFA3C6527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9" authorId="0" shapeId="0" xr:uid="{09AF3E04-4022-4AAC-9BD1-035E457945C2}">
      <text>
        <r>
          <rPr>
            <sz val="8"/>
            <color indexed="81"/>
            <rFont val="Tahoma"/>
            <family val="2"/>
          </rPr>
          <t>For Multi Shade and
Triple Shade,  
the  Fabric Insert  
options are;
Yes
For Roma Shade 
the  Fabric Insert  
options are;
N/A</t>
        </r>
      </text>
    </comment>
    <comment ref="R19" authorId="0" shapeId="0" xr:uid="{323D04B0-5CB8-43D3-8D27-C3E62F867DBA}">
      <text>
        <r>
          <rPr>
            <sz val="8"/>
            <color indexed="81"/>
            <rFont val="Tahoma"/>
            <family val="2"/>
          </rPr>
          <t>For Multi Shade, 
the options are;
Standard
Over Roll
For Triple Shade, 
the options are;
Standard
For Roma Shade 
the  options are;
N/A</t>
        </r>
      </text>
    </comment>
    <comment ref="T19" authorId="0" shapeId="0" xr:uid="{00000000-0006-0000-0800-0000D0000000}">
      <text>
        <r>
          <rPr>
            <sz val="8"/>
            <color indexed="81"/>
            <rFont val="Tahoma"/>
            <family val="2"/>
          </rPr>
          <t>Please use this section 
to specify 
any Special Requirements
for the Line/Order.</t>
        </r>
      </text>
    </comment>
    <comment ref="D20" authorId="0" shapeId="0" xr:uid="{0254F831-D7C2-4098-BA1E-7F1B3D9A8F05}">
      <text>
        <r>
          <rPr>
            <sz val="8"/>
            <color indexed="81"/>
            <rFont val="Tahoma"/>
            <family val="2"/>
          </rPr>
          <t>The Products options are;
Multi Shade
Roma Shade
Triple Shade</t>
        </r>
      </text>
    </comment>
    <comment ref="E20" authorId="0" shapeId="0" xr:uid="{78F4C338-76C3-4316-A73F-CC849923B85A}">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0" authorId="0" shapeId="0" xr:uid="{75BA0064-9B2F-41C5-980A-3D9122FE9F2F}">
      <text>
        <r>
          <rPr>
            <sz val="8"/>
            <color indexed="81"/>
            <rFont val="Tahoma"/>
            <family val="2"/>
          </rPr>
          <t>The Colour can only be selected 
once the Product Type &amp; Finish has 
been entered.
Please refer to the Swatches.</t>
        </r>
      </text>
    </comment>
    <comment ref="G20" authorId="0" shapeId="0" xr:uid="{70EE7302-CBD3-4D29-9C39-E28537D82213}">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0" authorId="0" shapeId="0" xr:uid="{77DE1B4B-03D8-4EBA-BFD7-1B48276A0AAF}">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0" authorId="0" shapeId="0" xr:uid="{51EA06FE-1EA6-4371-A6D6-C45B6C471755}">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0" authorId="0" shapeId="0" xr:uid="{A408A909-A628-415F-B313-771182121AC4}">
      <text>
        <r>
          <rPr>
            <sz val="8"/>
            <color indexed="81"/>
            <rFont val="Tahoma"/>
            <family val="2"/>
          </rPr>
          <t>The Fitting options are;
Face Fit
Recess Fit</t>
        </r>
      </text>
    </comment>
    <comment ref="K20" authorId="0" shapeId="0" xr:uid="{91F76DB9-2BDA-4FC4-BC94-807DAE2CFE4A}">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0" authorId="0" shapeId="0" xr:uid="{FC0D727F-6DF9-46C5-A553-6A2463C8D942}">
      <text>
        <r>
          <rPr>
            <sz val="8"/>
            <color indexed="81"/>
            <rFont val="Tahoma"/>
            <family val="2"/>
          </rPr>
          <t>The Head Box/Rail 
Colours for 
Multi Shades &amp; Triple Shades are;
Default
Beige
Black
Dark Brown
Grey
Ivory
Light Brown
White
The Head Box/Rail 
Colours for 
Roma Shades are;
N/A</t>
        </r>
      </text>
    </comment>
    <comment ref="M20" authorId="0" shapeId="0" xr:uid="{621798F8-2451-4781-AFF3-CD18335DE758}">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0" authorId="0" shapeId="0" xr:uid="{D030A6E9-40E2-4C4F-9BA7-9D5363815437}">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0" authorId="0" shapeId="0" xr:uid="{BCA04D39-F311-482F-8BA7-28F59453B3B4}">
      <text>
        <r>
          <rPr>
            <sz val="8"/>
            <color indexed="81"/>
            <rFont val="Tahoma"/>
            <family val="2"/>
          </rPr>
          <t>The Chain Length 
options are; 
Default
500mm
750mm
1000mm
1250mm
1500mm
2000mm
Motorised;
N/A</t>
        </r>
      </text>
    </comment>
    <comment ref="P20" authorId="0" shapeId="0" xr:uid="{29F5DFFA-DCE8-42B1-A4A3-39F3CF1065D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0" authorId="0" shapeId="0" xr:uid="{FC5F30F5-345F-4FF4-89A2-F69A74E9DA80}">
      <text>
        <r>
          <rPr>
            <sz val="8"/>
            <color indexed="81"/>
            <rFont val="Tahoma"/>
            <family val="2"/>
          </rPr>
          <t>For Multi Shade and
Triple Shade,  
the  Fabric Insert  
options are;
Yes
For Roma Shade 
the  Fabric Insert  
options are;
N/A</t>
        </r>
      </text>
    </comment>
    <comment ref="R20" authorId="0" shapeId="0" xr:uid="{4AC3392B-6A61-45EB-9F5C-839B1D31079D}">
      <text>
        <r>
          <rPr>
            <sz val="8"/>
            <color indexed="81"/>
            <rFont val="Tahoma"/>
            <family val="2"/>
          </rPr>
          <t>For Multi Shade, 
the options are;
Standard
Over Roll
For Triple Shade, 
the options are;
Standard
For Roma Shade 
the  options are;
N/A</t>
        </r>
      </text>
    </comment>
    <comment ref="T20" authorId="0" shapeId="0" xr:uid="{00000000-0006-0000-0800-0000E0000000}">
      <text>
        <r>
          <rPr>
            <sz val="8"/>
            <color indexed="81"/>
            <rFont val="Tahoma"/>
            <family val="2"/>
          </rPr>
          <t>Please use this section 
to specify 
any Special Requirements
for the Line/Order.</t>
        </r>
      </text>
    </comment>
    <comment ref="D21" authorId="0" shapeId="0" xr:uid="{0411BBB0-B9C7-4F04-97A8-6B799AE7B6C8}">
      <text>
        <r>
          <rPr>
            <sz val="8"/>
            <color indexed="81"/>
            <rFont val="Tahoma"/>
            <family val="2"/>
          </rPr>
          <t>The Products options are;
Multi Shade
Roma Shade
Triple Shade</t>
        </r>
      </text>
    </comment>
    <comment ref="E21" authorId="0" shapeId="0" xr:uid="{2E98260D-3048-41CB-94B0-BB99E469C76E}">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1" authorId="0" shapeId="0" xr:uid="{F1BB2C63-3A05-4684-BD9F-77D527BDCAF2}">
      <text>
        <r>
          <rPr>
            <sz val="8"/>
            <color indexed="81"/>
            <rFont val="Tahoma"/>
            <family val="2"/>
          </rPr>
          <t>The Colour can only be selected 
once the Product Type &amp; Finish has 
been entered.
Please refer to the Swatches.</t>
        </r>
      </text>
    </comment>
    <comment ref="G21" authorId="0" shapeId="0" xr:uid="{69CEE6E0-9C68-45C9-AF33-6EC41686B85B}">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1" authorId="0" shapeId="0" xr:uid="{D7C6D81F-D691-4855-A308-FCEB9C0F711D}">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1" authorId="0" shapeId="0" xr:uid="{19E86118-BB4F-4F38-BE9C-5461EC88408C}">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1" authorId="0" shapeId="0" xr:uid="{8C47C3C5-C1A1-40E7-B724-82E57912C3CB}">
      <text>
        <r>
          <rPr>
            <sz val="8"/>
            <color indexed="81"/>
            <rFont val="Tahoma"/>
            <family val="2"/>
          </rPr>
          <t>The Fitting options are;
Face Fit
Recess Fit</t>
        </r>
      </text>
    </comment>
    <comment ref="K21" authorId="0" shapeId="0" xr:uid="{CB13FDA7-2508-4DB4-BBD1-D8D00FA0962E}">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1" authorId="0" shapeId="0" xr:uid="{767B670E-625A-45E8-A41F-7415C21C318E}">
      <text>
        <r>
          <rPr>
            <sz val="8"/>
            <color indexed="81"/>
            <rFont val="Tahoma"/>
            <family val="2"/>
          </rPr>
          <t>The Head Box/Rail 
Colours for 
Multi Shades &amp; Triple Shades are;
Default
Beige
Black
Dark Brown
Grey
Ivory
Light Brown
White
The Head Box/Rail 
Colours for 
Roma Shades are;
N/A</t>
        </r>
      </text>
    </comment>
    <comment ref="M21" authorId="0" shapeId="0" xr:uid="{18C39635-7BB3-4331-9447-52FE21B28994}">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1" authorId="0" shapeId="0" xr:uid="{93FD2B3F-658A-47D6-B381-40A7174D64A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1" authorId="0" shapeId="0" xr:uid="{3E6D7277-038B-4F0B-8E6D-B957BA48C69F}">
      <text>
        <r>
          <rPr>
            <sz val="8"/>
            <color indexed="81"/>
            <rFont val="Tahoma"/>
            <family val="2"/>
          </rPr>
          <t>The Chain Length 
options are; 
Default
500mm
750mm
1000mm
1250mm
1500mm
2000mm
Motorised;
N/A</t>
        </r>
      </text>
    </comment>
    <comment ref="P21" authorId="0" shapeId="0" xr:uid="{33D31340-FBF4-4D99-B3EE-CC274CF9873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1" authorId="0" shapeId="0" xr:uid="{0A299B22-55EC-42D8-8374-158450168BA0}">
      <text>
        <r>
          <rPr>
            <sz val="8"/>
            <color indexed="81"/>
            <rFont val="Tahoma"/>
            <family val="2"/>
          </rPr>
          <t>For Multi Shade and
Triple Shade,  
the  Fabric Insert  
options are;
Yes
For Roma Shade 
the  Fabric Insert  
options are;
N/A</t>
        </r>
      </text>
    </comment>
    <comment ref="R21" authorId="0" shapeId="0" xr:uid="{A480208F-77AA-4E2C-A067-1E3CE2E5C828}">
      <text>
        <r>
          <rPr>
            <sz val="8"/>
            <color indexed="81"/>
            <rFont val="Tahoma"/>
            <family val="2"/>
          </rPr>
          <t>For Multi Shade, 
the options are;
Standard
Over Roll
For Triple Shade, 
the options are;
Standard
For Roma Shade 
the  options are;
N/A</t>
        </r>
      </text>
    </comment>
    <comment ref="T21" authorId="0" shapeId="0" xr:uid="{00000000-0006-0000-0800-0000F0000000}">
      <text>
        <r>
          <rPr>
            <sz val="8"/>
            <color indexed="81"/>
            <rFont val="Tahoma"/>
            <family val="2"/>
          </rPr>
          <t>Please use this section 
to specify 
any Special Requirements
for the Line/Order.</t>
        </r>
      </text>
    </comment>
    <comment ref="D22" authorId="0" shapeId="0" xr:uid="{30217A56-CA33-4879-BE18-5FF83B878C0A}">
      <text>
        <r>
          <rPr>
            <sz val="8"/>
            <color indexed="81"/>
            <rFont val="Tahoma"/>
            <family val="2"/>
          </rPr>
          <t>The Products options are;
Multi Shade
Roma Shade
Triple Shade</t>
        </r>
      </text>
    </comment>
    <comment ref="E22" authorId="0" shapeId="0" xr:uid="{8E985698-B270-4E1B-AE25-ED086139AF26}">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2" authorId="0" shapeId="0" xr:uid="{9E2BE927-DCB5-419D-AA21-A8E640DBF1DA}">
      <text>
        <r>
          <rPr>
            <sz val="8"/>
            <color indexed="81"/>
            <rFont val="Tahoma"/>
            <family val="2"/>
          </rPr>
          <t>The Colour can only be selected 
once the Product Type &amp; Finish has 
been entered.
Please refer to the Swatches.</t>
        </r>
      </text>
    </comment>
    <comment ref="G22" authorId="0" shapeId="0" xr:uid="{9F4646A6-2473-467D-9EB9-28391FD7031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2" authorId="0" shapeId="0" xr:uid="{3C71D430-B50A-415F-B447-6FF0AF0A090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2" authorId="0" shapeId="0" xr:uid="{0C68E662-2D50-4234-96B0-0AAD95DDF1F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2" authorId="0" shapeId="0" xr:uid="{231FAEED-6DE1-4AF1-991F-1D5F3CBC9F5E}">
      <text>
        <r>
          <rPr>
            <sz val="8"/>
            <color indexed="81"/>
            <rFont val="Tahoma"/>
            <family val="2"/>
          </rPr>
          <t>The Fitting options are;
Face Fit
Recess Fit</t>
        </r>
      </text>
    </comment>
    <comment ref="K22" authorId="0" shapeId="0" xr:uid="{78295628-B1A2-4ABF-AA0B-DB48FB325AA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2" authorId="0" shapeId="0" xr:uid="{2FC8D30A-A65A-4542-BFD7-C97BF7B1B2C6}">
      <text>
        <r>
          <rPr>
            <sz val="8"/>
            <color indexed="81"/>
            <rFont val="Tahoma"/>
            <family val="2"/>
          </rPr>
          <t>The Head Box/Rail 
Colours for 
Multi Shades &amp; Triple Shades are;
Default
Beige
Black
Dark Brown
Grey
Ivory
Light Brown
White
The Head Box/Rail 
Colours for 
Roma Shades are;
N/A</t>
        </r>
      </text>
    </comment>
    <comment ref="M22" authorId="0" shapeId="0" xr:uid="{0E06E467-8139-4DA2-B713-2A781759EA04}">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2" authorId="0" shapeId="0" xr:uid="{7FA4A667-7800-4308-A8CF-1ACECBC92061}">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2" authorId="0" shapeId="0" xr:uid="{BB9BD256-D529-42BC-898C-EAE4F59E0145}">
      <text>
        <r>
          <rPr>
            <sz val="8"/>
            <color indexed="81"/>
            <rFont val="Tahoma"/>
            <family val="2"/>
          </rPr>
          <t>The Chain Length 
options are; 
Default
500mm
750mm
1000mm
1250mm
1500mm
2000mm
Motorised;
N/A</t>
        </r>
      </text>
    </comment>
    <comment ref="P22" authorId="0" shapeId="0" xr:uid="{BC138CEB-29D8-45BE-A0F9-E980720750B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2" authorId="0" shapeId="0" xr:uid="{D3A4B6D4-DCD4-4804-8E85-CE6B984E9EDC}">
      <text>
        <r>
          <rPr>
            <sz val="8"/>
            <color indexed="81"/>
            <rFont val="Tahoma"/>
            <family val="2"/>
          </rPr>
          <t>For Multi Shade and
Triple Shade,  
the  Fabric Insert  
options are;
Yes
For Roma Shade 
the  Fabric Insert  
options are;
N/A</t>
        </r>
      </text>
    </comment>
    <comment ref="R22" authorId="0" shapeId="0" xr:uid="{F98252E9-60EF-44B6-A11E-6EC7222AF347}">
      <text>
        <r>
          <rPr>
            <sz val="8"/>
            <color indexed="81"/>
            <rFont val="Tahoma"/>
            <family val="2"/>
          </rPr>
          <t>For Multi Shade, 
the options are;
Standard
Over Roll
For Triple Shade, 
the options are;
Standard
For Roma Shade 
the  options are;
N/A</t>
        </r>
      </text>
    </comment>
    <comment ref="T22" authorId="0" shapeId="0" xr:uid="{00000000-0006-0000-0800-000000010000}">
      <text>
        <r>
          <rPr>
            <sz val="8"/>
            <color indexed="81"/>
            <rFont val="Tahoma"/>
            <family val="2"/>
          </rPr>
          <t>Please use this section 
to specify 
any Special Requirements
for the Line/Order.</t>
        </r>
      </text>
    </comment>
    <comment ref="D23" authorId="0" shapeId="0" xr:uid="{38173A0D-9AA1-4FCC-8E84-0E5056286126}">
      <text>
        <r>
          <rPr>
            <sz val="8"/>
            <color indexed="81"/>
            <rFont val="Tahoma"/>
            <family val="2"/>
          </rPr>
          <t>The Products options are;
Multi Shade
Roma Shade
Triple Shade</t>
        </r>
      </text>
    </comment>
    <comment ref="E23" authorId="0" shapeId="0" xr:uid="{DF3337B7-2483-4515-8925-E369AEF31DC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3" authorId="0" shapeId="0" xr:uid="{61154455-CF9F-4104-82AC-55CA52528E7C}">
      <text>
        <r>
          <rPr>
            <sz val="8"/>
            <color indexed="81"/>
            <rFont val="Tahoma"/>
            <family val="2"/>
          </rPr>
          <t>The Colour can only be selected 
once the Product Type &amp; Finish has 
been entered.
Please refer to the Swatches.</t>
        </r>
      </text>
    </comment>
    <comment ref="G23" authorId="0" shapeId="0" xr:uid="{7763941D-F2F0-41E1-94A7-8EEC7140EAC4}">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3" authorId="0" shapeId="0" xr:uid="{7574261A-552F-410A-A947-4C24E1905DA5}">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3" authorId="0" shapeId="0" xr:uid="{28A87268-48D3-442C-8211-9C5AEB44051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3" authorId="0" shapeId="0" xr:uid="{228894DD-E581-460C-BE7A-91E02AA6938C}">
      <text>
        <r>
          <rPr>
            <sz val="8"/>
            <color indexed="81"/>
            <rFont val="Tahoma"/>
            <family val="2"/>
          </rPr>
          <t>The Fitting options are;
Face Fit
Recess Fit</t>
        </r>
      </text>
    </comment>
    <comment ref="K23" authorId="0" shapeId="0" xr:uid="{9F7381B1-E1E7-4C3F-AB7E-84EC3FF4140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3" authorId="0" shapeId="0" xr:uid="{95D02BE6-3DEB-4300-904C-A99A4EB62A00}">
      <text>
        <r>
          <rPr>
            <sz val="8"/>
            <color indexed="81"/>
            <rFont val="Tahoma"/>
            <family val="2"/>
          </rPr>
          <t>The Head Box/Rail 
Colours for 
Multi Shades &amp; Triple Shades are;
Default
Beige
Black
Dark Brown
Grey
Ivory
Light Brown
White
The Head Box/Rail 
Colours for 
Roma Shades are;
N/A</t>
        </r>
      </text>
    </comment>
    <comment ref="M23" authorId="0" shapeId="0" xr:uid="{826470A3-11A8-40E9-9D42-8270611B1F5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3" authorId="0" shapeId="0" xr:uid="{5342397A-59C5-472B-A5A2-4A815206E76F}">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3" authorId="0" shapeId="0" xr:uid="{622571E0-48FC-4D87-8482-B95B5457EDCB}">
      <text>
        <r>
          <rPr>
            <sz val="8"/>
            <color indexed="81"/>
            <rFont val="Tahoma"/>
            <family val="2"/>
          </rPr>
          <t>The Chain Length 
options are; 
Default
500mm
750mm
1000mm
1250mm
1500mm
2000mm
Motorised;
N/A</t>
        </r>
      </text>
    </comment>
    <comment ref="P23" authorId="0" shapeId="0" xr:uid="{384035AE-C88C-46A8-9BD3-59F6B3426D10}">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3" authorId="0" shapeId="0" xr:uid="{84235934-75FB-4AE6-8438-A406E81B4581}">
      <text>
        <r>
          <rPr>
            <sz val="8"/>
            <color indexed="81"/>
            <rFont val="Tahoma"/>
            <family val="2"/>
          </rPr>
          <t>For Multi Shade and
Triple Shade,  
the  Fabric Insert  
options are;
Yes
For Roma Shade 
the  Fabric Insert  
options are;
N/A</t>
        </r>
      </text>
    </comment>
    <comment ref="R23" authorId="0" shapeId="0" xr:uid="{BAE886FB-08AB-4AFA-B45E-2D0E51AF7F42}">
      <text>
        <r>
          <rPr>
            <sz val="8"/>
            <color indexed="81"/>
            <rFont val="Tahoma"/>
            <family val="2"/>
          </rPr>
          <t>For Multi Shade, 
the options are;
Standard
Over Roll
For Triple Shade, 
the options are;
Standard
For Roma Shade 
the  options are;
N/A</t>
        </r>
      </text>
    </comment>
    <comment ref="T23" authorId="0" shapeId="0" xr:uid="{00000000-0006-0000-0800-000010010000}">
      <text>
        <r>
          <rPr>
            <sz val="8"/>
            <color indexed="81"/>
            <rFont val="Tahoma"/>
            <family val="2"/>
          </rPr>
          <t>Please use this section 
to specify 
any Special Requirements
for the Line/Order.</t>
        </r>
      </text>
    </comment>
    <comment ref="D24" authorId="0" shapeId="0" xr:uid="{F49F5AD7-0C52-4CDF-8B1C-7CE25971E577}">
      <text>
        <r>
          <rPr>
            <sz val="8"/>
            <color indexed="81"/>
            <rFont val="Tahoma"/>
            <family val="2"/>
          </rPr>
          <t>The Products options are;
Multi Shade
Roma Shade
Triple Shade</t>
        </r>
      </text>
    </comment>
    <comment ref="E24" authorId="0" shapeId="0" xr:uid="{33CD5018-8D4E-4B51-9351-2A83DA745DB4}">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4" authorId="0" shapeId="0" xr:uid="{208A0A59-F346-473A-8FD0-E18ADD2BD4E7}">
      <text>
        <r>
          <rPr>
            <sz val="8"/>
            <color indexed="81"/>
            <rFont val="Tahoma"/>
            <family val="2"/>
          </rPr>
          <t>The Colour can only be selected 
once the Product Type &amp; Finish has 
been entered.
Please refer to the Swatches.</t>
        </r>
      </text>
    </comment>
    <comment ref="G24" authorId="0" shapeId="0" xr:uid="{B385B441-8741-405A-B7D7-40FDF25678B2}">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4" authorId="0" shapeId="0" xr:uid="{C11EBAAC-3023-4F79-B853-1FBA6908F1AA}">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4" authorId="0" shapeId="0" xr:uid="{A6F7603A-6FEA-4FCD-BCCE-002F41294D8A}">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4" authorId="0" shapeId="0" xr:uid="{99FAABB2-1287-472B-A2D5-7CE3785532F5}">
      <text>
        <r>
          <rPr>
            <sz val="8"/>
            <color indexed="81"/>
            <rFont val="Tahoma"/>
            <family val="2"/>
          </rPr>
          <t>The Fitting options are;
Face Fit
Recess Fit</t>
        </r>
      </text>
    </comment>
    <comment ref="K24" authorId="0" shapeId="0" xr:uid="{F98E1DC0-9BC8-42AC-BA38-500986BDC0A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4" authorId="0" shapeId="0" xr:uid="{ED79027E-4640-4640-8434-CF643A073A89}">
      <text>
        <r>
          <rPr>
            <sz val="8"/>
            <color indexed="81"/>
            <rFont val="Tahoma"/>
            <family val="2"/>
          </rPr>
          <t>The Head Box/Rail 
Colours for 
Multi Shades &amp; Triple Shades are;
Default
Beige
Black
Dark Brown
Grey
Ivory
Light Brown
White
The Head Box/Rail 
Colours for 
Roma Shades are;
N/A</t>
        </r>
      </text>
    </comment>
    <comment ref="M24" authorId="0" shapeId="0" xr:uid="{76D09DD7-35BE-499D-B633-ACE271A8F1DC}">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4" authorId="0" shapeId="0" xr:uid="{A316993D-51B5-4145-B0D3-6355A72C855B}">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4" authorId="0" shapeId="0" xr:uid="{8B8BA993-51CF-4C37-8E89-F3E95445DF97}">
      <text>
        <r>
          <rPr>
            <sz val="8"/>
            <color indexed="81"/>
            <rFont val="Tahoma"/>
            <family val="2"/>
          </rPr>
          <t>The Chain Length 
options are; 
Default
500mm
750mm
1000mm
1250mm
1500mm
2000mm
Motorised;
N/A</t>
        </r>
      </text>
    </comment>
    <comment ref="P24" authorId="0" shapeId="0" xr:uid="{E8E33068-C05C-4520-87E9-018066D3A5A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4" authorId="0" shapeId="0" xr:uid="{6B92DCF6-3D55-4BDB-8762-F5DAAA56F994}">
      <text>
        <r>
          <rPr>
            <sz val="8"/>
            <color indexed="81"/>
            <rFont val="Tahoma"/>
            <family val="2"/>
          </rPr>
          <t>For Multi Shade and
Triple Shade,  
the  Fabric Insert  
options are;
Yes
For Roma Shade 
the  Fabric Insert  
options are;
N/A</t>
        </r>
      </text>
    </comment>
    <comment ref="R24" authorId="0" shapeId="0" xr:uid="{D449A90B-E13F-4346-BB34-A5D283C7A16D}">
      <text>
        <r>
          <rPr>
            <sz val="8"/>
            <color indexed="81"/>
            <rFont val="Tahoma"/>
            <family val="2"/>
          </rPr>
          <t>For Multi Shade, 
the options are;
Standard
Over Roll
For Triple Shade, 
the options are;
Standard
For Roma Shade 
the  options are;
N/A</t>
        </r>
      </text>
    </comment>
    <comment ref="T24" authorId="0" shapeId="0" xr:uid="{00000000-0006-0000-0800-000020010000}">
      <text>
        <r>
          <rPr>
            <sz val="8"/>
            <color indexed="81"/>
            <rFont val="Tahoma"/>
            <family val="2"/>
          </rPr>
          <t>Please use this section 
to specify 
any Special Requirements
for the Line/Order.</t>
        </r>
      </text>
    </comment>
    <comment ref="D25" authorId="0" shapeId="0" xr:uid="{95FFB711-A0E7-4D85-926A-61406E271185}">
      <text>
        <r>
          <rPr>
            <sz val="8"/>
            <color indexed="81"/>
            <rFont val="Tahoma"/>
            <family val="2"/>
          </rPr>
          <t>The Products options are;
Multi Shade
Roma Shade
Triple Shade</t>
        </r>
      </text>
    </comment>
    <comment ref="E25" authorId="0" shapeId="0" xr:uid="{9E411902-8FD3-4F4B-B54D-078B6005BC74}">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5" authorId="0" shapeId="0" xr:uid="{10A021C3-ED51-4322-938D-7F67E313056D}">
      <text>
        <r>
          <rPr>
            <sz val="8"/>
            <color indexed="81"/>
            <rFont val="Tahoma"/>
            <family val="2"/>
          </rPr>
          <t>The Colour can only be selected 
once the Product Type &amp; Finish has 
been entered.
Please refer to the Swatches.</t>
        </r>
      </text>
    </comment>
    <comment ref="G25" authorId="0" shapeId="0" xr:uid="{A7A25E3A-49E1-413F-B29D-A039FF74B5EA}">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5" authorId="0" shapeId="0" xr:uid="{51C7897B-2231-46CE-9F4F-E221813FA95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5" authorId="0" shapeId="0" xr:uid="{4CE920CE-99C1-406D-95BC-B4B77989FA6D}">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5" authorId="0" shapeId="0" xr:uid="{576A6265-19B6-42ED-9E69-C3D3BEC64A71}">
      <text>
        <r>
          <rPr>
            <sz val="8"/>
            <color indexed="81"/>
            <rFont val="Tahoma"/>
            <family val="2"/>
          </rPr>
          <t>The Fitting options are;
Face Fit
Recess Fit</t>
        </r>
      </text>
    </comment>
    <comment ref="K25" authorId="0" shapeId="0" xr:uid="{F584F334-FA20-4AAF-B7D0-1211605C80C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5" authorId="0" shapeId="0" xr:uid="{6B832A69-F888-4043-BE3B-722AF5FA105A}">
      <text>
        <r>
          <rPr>
            <sz val="8"/>
            <color indexed="81"/>
            <rFont val="Tahoma"/>
            <family val="2"/>
          </rPr>
          <t>The Head Box/Rail 
Colours for 
Multi Shades &amp; Triple Shades are;
Default
Beige
Black
Dark Brown
Grey
Ivory
Light Brown
White
The Head Box/Rail 
Colours for 
Roma Shades are;
N/A</t>
        </r>
      </text>
    </comment>
    <comment ref="M25" authorId="0" shapeId="0" xr:uid="{C4FF7960-E58C-4EF0-8021-4608535148A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5" authorId="0" shapeId="0" xr:uid="{23DF9F1D-0D5D-4D26-B2F0-002C5E610F8A}">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5" authorId="0" shapeId="0" xr:uid="{6C3B9355-C1C2-4ED0-A7FD-A3FE463D3137}">
      <text>
        <r>
          <rPr>
            <sz val="8"/>
            <color indexed="81"/>
            <rFont val="Tahoma"/>
            <family val="2"/>
          </rPr>
          <t>The Chain Length 
options are; 
Default
500mm
750mm
1000mm
1250mm
1500mm
2000mm
Motorised;
N/A</t>
        </r>
      </text>
    </comment>
    <comment ref="P25" authorId="0" shapeId="0" xr:uid="{493A5FAE-A798-4EB7-AF6C-7E24C8EE6EDF}">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5" authorId="0" shapeId="0" xr:uid="{364C7CF8-CAEB-4E3B-9C11-3738F6C1A1CE}">
      <text>
        <r>
          <rPr>
            <sz val="8"/>
            <color indexed="81"/>
            <rFont val="Tahoma"/>
            <family val="2"/>
          </rPr>
          <t>For Multi Shade and
Triple Shade,  
the  Fabric Insert  
options are;
Yes
For Roma Shade 
the  Fabric Insert  
options are;
N/A</t>
        </r>
      </text>
    </comment>
    <comment ref="R25" authorId="0" shapeId="0" xr:uid="{3E550D87-D43B-4E6F-A580-81567905205C}">
      <text>
        <r>
          <rPr>
            <sz val="8"/>
            <color indexed="81"/>
            <rFont val="Tahoma"/>
            <family val="2"/>
          </rPr>
          <t>For Multi Shade, 
the options are;
Standard
Over Roll
For Triple Shade, 
the options are;
Standard
For Roma Shade 
the  options are;
N/A</t>
        </r>
      </text>
    </comment>
    <comment ref="T25" authorId="0" shapeId="0" xr:uid="{00000000-0006-0000-0800-000030010000}">
      <text>
        <r>
          <rPr>
            <sz val="8"/>
            <color indexed="81"/>
            <rFont val="Tahoma"/>
            <family val="2"/>
          </rPr>
          <t>Please use this section 
to specify 
any Special Requirements
for the Line/Order.</t>
        </r>
      </text>
    </comment>
    <comment ref="D26" authorId="0" shapeId="0" xr:uid="{6C5BA8BF-C8D9-403A-B70B-8B3F942CADE7}">
      <text>
        <r>
          <rPr>
            <sz val="8"/>
            <color indexed="81"/>
            <rFont val="Tahoma"/>
            <family val="2"/>
          </rPr>
          <t>The Products options are;
Multi Shade
Roma Shade
Triple Shade</t>
        </r>
      </text>
    </comment>
    <comment ref="E26" authorId="0" shapeId="0" xr:uid="{CE9798A2-656E-425F-BDE6-C4ABB76CDF3C}">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6" authorId="0" shapeId="0" xr:uid="{A164CECD-6D67-40CD-AE1E-FDFBB377F48B}">
      <text>
        <r>
          <rPr>
            <sz val="8"/>
            <color indexed="81"/>
            <rFont val="Tahoma"/>
            <family val="2"/>
          </rPr>
          <t>The Colour can only be selected 
once the Product Type &amp; Finish has 
been entered.
Please refer to the Swatches.</t>
        </r>
      </text>
    </comment>
    <comment ref="G26" authorId="0" shapeId="0" xr:uid="{3F92E0F6-CC03-408C-B523-C6279248E4C1}">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6" authorId="0" shapeId="0" xr:uid="{EFA84ADE-309D-401C-90E4-264045996AD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6" authorId="0" shapeId="0" xr:uid="{E8AC598F-FD04-448A-88EE-0975503D71D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6" authorId="0" shapeId="0" xr:uid="{17452436-2D7B-4522-B394-58689574B037}">
      <text>
        <r>
          <rPr>
            <sz val="8"/>
            <color indexed="81"/>
            <rFont val="Tahoma"/>
            <family val="2"/>
          </rPr>
          <t>The Fitting options are;
Face Fit
Recess Fit</t>
        </r>
      </text>
    </comment>
    <comment ref="K26" authorId="0" shapeId="0" xr:uid="{C5AF6796-1AA3-49AF-9F51-92ABC5BDD1C1}">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6" authorId="0" shapeId="0" xr:uid="{42D0F267-DA82-43AD-88E8-6905164F87C0}">
      <text>
        <r>
          <rPr>
            <sz val="8"/>
            <color indexed="81"/>
            <rFont val="Tahoma"/>
            <family val="2"/>
          </rPr>
          <t>The Head Box/Rail 
Colours for 
Multi Shades &amp; Triple Shades are;
Default
Beige
Black
Dark Brown
Grey
Ivory
Light Brown
White
The Head Box/Rail 
Colours for 
Roma Shades are;
N/A</t>
        </r>
      </text>
    </comment>
    <comment ref="M26" authorId="0" shapeId="0" xr:uid="{13035644-0823-4B4E-BB11-982FAC5634B2}">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6" authorId="0" shapeId="0" xr:uid="{F6BFBE04-CFA2-4211-B6E6-447410857103}">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6" authorId="0" shapeId="0" xr:uid="{F47CE1F3-EFD4-45E2-A1E8-98ED2758F419}">
      <text>
        <r>
          <rPr>
            <sz val="8"/>
            <color indexed="81"/>
            <rFont val="Tahoma"/>
            <family val="2"/>
          </rPr>
          <t>The Chain Length 
options are; 
Default
500mm
750mm
1000mm
1250mm
1500mm
2000mm
Motorised;
N/A</t>
        </r>
      </text>
    </comment>
    <comment ref="P26" authorId="0" shapeId="0" xr:uid="{1AA0B5FD-321E-45CC-A5F1-7D6751F03C84}">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6" authorId="0" shapeId="0" xr:uid="{F0D42F19-E47A-4F95-A584-570E7DD45331}">
      <text>
        <r>
          <rPr>
            <sz val="8"/>
            <color indexed="81"/>
            <rFont val="Tahoma"/>
            <family val="2"/>
          </rPr>
          <t>For Multi Shade and
Triple Shade,  
the  Fabric Insert  
options are;
Yes
For Roma Shade 
the  Fabric Insert  
options are;
N/A</t>
        </r>
      </text>
    </comment>
    <comment ref="R26" authorId="0" shapeId="0" xr:uid="{1B7D237C-C1E3-4D62-AAAA-4B9771079524}">
      <text>
        <r>
          <rPr>
            <sz val="8"/>
            <color indexed="81"/>
            <rFont val="Tahoma"/>
            <family val="2"/>
          </rPr>
          <t>For Multi Shade, 
the options are;
Standard
Over Roll
For Triple Shade, 
the options are;
Standard
For Roma Shade 
the  options are;
N/A</t>
        </r>
      </text>
    </comment>
    <comment ref="T26" authorId="0" shapeId="0" xr:uid="{00000000-0006-0000-0800-000040010000}">
      <text>
        <r>
          <rPr>
            <sz val="8"/>
            <color indexed="81"/>
            <rFont val="Tahoma"/>
            <family val="2"/>
          </rPr>
          <t>Please use this section 
to specify 
any Special Requirements
for the Line/Order.</t>
        </r>
      </text>
    </comment>
    <comment ref="D27" authorId="0" shapeId="0" xr:uid="{D86F9849-0C2B-4845-B9F5-F26EAF35C421}">
      <text>
        <r>
          <rPr>
            <sz val="8"/>
            <color indexed="81"/>
            <rFont val="Tahoma"/>
            <family val="2"/>
          </rPr>
          <t>The Products options are;
Multi Shade
Roma Shade
Triple Shade</t>
        </r>
      </text>
    </comment>
    <comment ref="E27" authorId="0" shapeId="0" xr:uid="{5DA7F065-F090-4F52-9D6E-84446A81B12F}">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7" authorId="0" shapeId="0" xr:uid="{50D26064-4726-475F-8DD4-3C8184ABBB84}">
      <text>
        <r>
          <rPr>
            <sz val="8"/>
            <color indexed="81"/>
            <rFont val="Tahoma"/>
            <family val="2"/>
          </rPr>
          <t>The Colour can only be selected 
once the Product Type &amp; Finish has 
been entered.
Please refer to the Swatches.</t>
        </r>
      </text>
    </comment>
    <comment ref="G27" authorId="0" shapeId="0" xr:uid="{9EBD4529-C035-42C5-8647-01DD1B4C338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7" authorId="0" shapeId="0" xr:uid="{D50F560C-9D7E-4A56-9FE7-B02BCA534CA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7" authorId="0" shapeId="0" xr:uid="{7918F171-6755-4F39-8378-47537C74A78A}">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7" authorId="0" shapeId="0" xr:uid="{656DD2EE-AF37-4FCA-A1C3-9373B0D64628}">
      <text>
        <r>
          <rPr>
            <sz val="8"/>
            <color indexed="81"/>
            <rFont val="Tahoma"/>
            <family val="2"/>
          </rPr>
          <t>The Fitting options are;
Face Fit
Recess Fit</t>
        </r>
      </text>
    </comment>
    <comment ref="K27" authorId="0" shapeId="0" xr:uid="{D51B1C79-8076-4822-9B6A-B3B3C408788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7" authorId="0" shapeId="0" xr:uid="{56A46DE7-B162-4257-BEB9-F425BA67AD44}">
      <text>
        <r>
          <rPr>
            <sz val="8"/>
            <color indexed="81"/>
            <rFont val="Tahoma"/>
            <family val="2"/>
          </rPr>
          <t>The Head Box/Rail 
Colours for 
Multi Shades &amp; Triple Shades are;
Default
Beige
Black
Dark Brown
Grey
Ivory
Light Brown
White
The Head Box/Rail 
Colours for 
Roma Shades are;
N/A</t>
        </r>
      </text>
    </comment>
    <comment ref="M27" authorId="0" shapeId="0" xr:uid="{C7CFB41D-B91F-470E-95CE-F3BD969C635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7" authorId="0" shapeId="0" xr:uid="{F0A2A34A-B05E-4509-BA91-23D5B36EADEC}">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7" authorId="0" shapeId="0" xr:uid="{2B2C4BDF-F32D-4AEE-8598-8DCE76BF14F2}">
      <text>
        <r>
          <rPr>
            <sz val="8"/>
            <color indexed="81"/>
            <rFont val="Tahoma"/>
            <family val="2"/>
          </rPr>
          <t>The Chain Length 
options are; 
Default
500mm
750mm
1000mm
1250mm
1500mm
2000mm
Motorised;
N/A</t>
        </r>
      </text>
    </comment>
    <comment ref="P27" authorId="0" shapeId="0" xr:uid="{36DDD309-E680-468C-9777-1B87F9A9094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7" authorId="0" shapeId="0" xr:uid="{3DD7143D-C84E-4400-B13D-A1779561514D}">
      <text>
        <r>
          <rPr>
            <sz val="8"/>
            <color indexed="81"/>
            <rFont val="Tahoma"/>
            <family val="2"/>
          </rPr>
          <t>For Multi Shade and
Triple Shade,  
the  Fabric Insert  
options are;
Yes
For Roma Shade 
the  Fabric Insert  
options are;
N/A</t>
        </r>
      </text>
    </comment>
    <comment ref="R27" authorId="0" shapeId="0" xr:uid="{A02E5F96-619B-4D2F-81A4-92ACAF42179D}">
      <text>
        <r>
          <rPr>
            <sz val="8"/>
            <color indexed="81"/>
            <rFont val="Tahoma"/>
            <family val="2"/>
          </rPr>
          <t>For Multi Shade, 
the options are;
Standard
Over Roll
For Triple Shade, 
the options are;
Standard
For Roma Shade 
the  options are;
N/A</t>
        </r>
      </text>
    </comment>
    <comment ref="T27" authorId="0" shapeId="0" xr:uid="{00000000-0006-0000-0800-000050010000}">
      <text>
        <r>
          <rPr>
            <sz val="8"/>
            <color indexed="81"/>
            <rFont val="Tahoma"/>
            <family val="2"/>
          </rPr>
          <t>Please use this section 
to specify 
any Special Requirements
for the Line/Order.</t>
        </r>
      </text>
    </comment>
    <comment ref="D28" authorId="0" shapeId="0" xr:uid="{920E499F-3026-48C4-9CD6-5F7DE0E3ED45}">
      <text>
        <r>
          <rPr>
            <sz val="8"/>
            <color indexed="81"/>
            <rFont val="Tahoma"/>
            <family val="2"/>
          </rPr>
          <t>The Products options are;
Multi Shade
Roma Shade
Triple Shade</t>
        </r>
      </text>
    </comment>
    <comment ref="E28" authorId="0" shapeId="0" xr:uid="{FCF1B46D-F4AE-421F-8E9F-F9414361A975}">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8" authorId="0" shapeId="0" xr:uid="{AE0C0F80-1034-4C09-BB4D-579817B9E050}">
      <text>
        <r>
          <rPr>
            <sz val="8"/>
            <color indexed="81"/>
            <rFont val="Tahoma"/>
            <family val="2"/>
          </rPr>
          <t>The Colour can only be selected 
once the Product Type &amp; Finish has 
been entered.
Please refer to the Swatches.</t>
        </r>
      </text>
    </comment>
    <comment ref="G28" authorId="0" shapeId="0" xr:uid="{EAA3ACDA-FAD1-4D52-9A43-1034C06F682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8" authorId="0" shapeId="0" xr:uid="{81CEF88F-9492-4599-8A37-48E9D47FD1B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8" authorId="0" shapeId="0" xr:uid="{32A6CA2A-24B4-4244-8FA8-CE9C1FA2071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8" authorId="0" shapeId="0" xr:uid="{841A0D52-AF51-4B08-A333-604CFACFCFB7}">
      <text>
        <r>
          <rPr>
            <sz val="8"/>
            <color indexed="81"/>
            <rFont val="Tahoma"/>
            <family val="2"/>
          </rPr>
          <t>The Fitting options are;
Face Fit
Recess Fit</t>
        </r>
      </text>
    </comment>
    <comment ref="K28" authorId="0" shapeId="0" xr:uid="{664CA9C6-30A3-4CC0-831B-322A8053D5F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8" authorId="0" shapeId="0" xr:uid="{A6EDAD01-5F3F-436F-869A-A06490610920}">
      <text>
        <r>
          <rPr>
            <sz val="8"/>
            <color indexed="81"/>
            <rFont val="Tahoma"/>
            <family val="2"/>
          </rPr>
          <t>The Head Box/Rail 
Colours for 
Multi Shades &amp; Triple Shades are;
Default
Beige
Black
Dark Brown
Grey
Ivory
Light Brown
White
The Head Box/Rail 
Colours for 
Roma Shades are;
N/A</t>
        </r>
      </text>
    </comment>
    <comment ref="M28" authorId="0" shapeId="0" xr:uid="{B9529B72-CE5F-488A-A108-4AD4E8B4F985}">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8" authorId="0" shapeId="0" xr:uid="{4ADE26C2-0C15-4D94-9014-089D2792A288}">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8" authorId="0" shapeId="0" xr:uid="{8278B743-2641-46B4-B6EF-C16B832F8886}">
      <text>
        <r>
          <rPr>
            <sz val="8"/>
            <color indexed="81"/>
            <rFont val="Tahoma"/>
            <family val="2"/>
          </rPr>
          <t>The Chain Length 
options are; 
Default
500mm
750mm
1000mm
1250mm
1500mm
2000mm
Motorised;
N/A</t>
        </r>
      </text>
    </comment>
    <comment ref="P28" authorId="0" shapeId="0" xr:uid="{86FFFFB4-D528-4B77-9000-428BEAA0FA45}">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8" authorId="0" shapeId="0" xr:uid="{FD2C8054-5E31-4B57-82F6-F1F005ECF3B8}">
      <text>
        <r>
          <rPr>
            <sz val="8"/>
            <color indexed="81"/>
            <rFont val="Tahoma"/>
            <family val="2"/>
          </rPr>
          <t>For Multi Shade and
Triple Shade,  
the  Fabric Insert  
options are;
Yes
For Roma Shade 
the  Fabric Insert  
options are;
N/A</t>
        </r>
      </text>
    </comment>
    <comment ref="R28" authorId="0" shapeId="0" xr:uid="{33A96A5F-9B70-416C-BD76-27E6E09216AE}">
      <text>
        <r>
          <rPr>
            <sz val="8"/>
            <color indexed="81"/>
            <rFont val="Tahoma"/>
            <family val="2"/>
          </rPr>
          <t>For Multi Shade, 
the options are;
Standard
Over Roll
For Triple Shade, 
the options are;
Standard
For Roma Shade 
the  options are;
N/A</t>
        </r>
      </text>
    </comment>
    <comment ref="T28" authorId="0" shapeId="0" xr:uid="{00000000-0006-0000-0800-000060010000}">
      <text>
        <r>
          <rPr>
            <sz val="8"/>
            <color indexed="81"/>
            <rFont val="Tahoma"/>
            <family val="2"/>
          </rPr>
          <t>Please use this section 
to specify 
any Special Requirements
for the Line/Order.</t>
        </r>
      </text>
    </comment>
    <comment ref="D29" authorId="0" shapeId="0" xr:uid="{5FEEA917-D0E5-4E03-BF88-20E008548399}">
      <text>
        <r>
          <rPr>
            <sz val="8"/>
            <color indexed="81"/>
            <rFont val="Tahoma"/>
            <family val="2"/>
          </rPr>
          <t>The Products options are;
Multi Shade
Roma Shade
Triple Shade</t>
        </r>
      </text>
    </comment>
    <comment ref="E29" authorId="0" shapeId="0" xr:uid="{D56ED664-2B6F-420E-A1C1-367846810CE6}">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9" authorId="0" shapeId="0" xr:uid="{EC8CF7D7-4DF8-4C03-B900-FCC2F7C11784}">
      <text>
        <r>
          <rPr>
            <sz val="8"/>
            <color indexed="81"/>
            <rFont val="Tahoma"/>
            <family val="2"/>
          </rPr>
          <t>The Colour can only be selected 
once the Product Type &amp; Finish has 
been entered.
Please refer to the Swatches.</t>
        </r>
      </text>
    </comment>
    <comment ref="G29" authorId="0" shapeId="0" xr:uid="{777B6A6B-C0A2-43FB-A194-A496B4C26B8B}">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9" authorId="0" shapeId="0" xr:uid="{278BA82A-B024-44AC-8E70-5279AE7D93CA}">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9" authorId="0" shapeId="0" xr:uid="{0FAEE007-5279-41CB-AB98-C7B57D72129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9" authorId="0" shapeId="0" xr:uid="{31C792DC-FEE9-4654-AC6E-79CEABFF4585}">
      <text>
        <r>
          <rPr>
            <sz val="8"/>
            <color indexed="81"/>
            <rFont val="Tahoma"/>
            <family val="2"/>
          </rPr>
          <t>The Fitting options are;
Face Fit
Recess Fit</t>
        </r>
      </text>
    </comment>
    <comment ref="K29" authorId="0" shapeId="0" xr:uid="{9AC6282D-FDBF-4CA1-8AD8-3D951E62B13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9" authorId="0" shapeId="0" xr:uid="{7DEC7857-283F-463B-8427-9C0DC8257FD9}">
      <text>
        <r>
          <rPr>
            <sz val="8"/>
            <color indexed="81"/>
            <rFont val="Tahoma"/>
            <family val="2"/>
          </rPr>
          <t>The Head Box/Rail 
Colours for 
Multi Shades &amp; Triple Shades are;
Default
Beige
Black
Dark Brown
Grey
Ivory
Light Brown
White
The Head Box/Rail 
Colours for 
Roma Shades are;
N/A</t>
        </r>
      </text>
    </comment>
    <comment ref="M29" authorId="0" shapeId="0" xr:uid="{938630E1-5C3F-413E-95E3-8AD4B9EED9F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9" authorId="0" shapeId="0" xr:uid="{48C892F6-96C0-4C5C-A15A-AFC51CE0E714}">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9" authorId="0" shapeId="0" xr:uid="{8E49CF7B-78F3-4FF4-8066-B053CE354E8C}">
      <text>
        <r>
          <rPr>
            <sz val="8"/>
            <color indexed="81"/>
            <rFont val="Tahoma"/>
            <family val="2"/>
          </rPr>
          <t>The Chain Length 
options are; 
Default
500mm
750mm
1000mm
1250mm
1500mm
2000mm
Motorised;
N/A</t>
        </r>
      </text>
    </comment>
    <comment ref="P29" authorId="0" shapeId="0" xr:uid="{DC999269-4C06-42B0-81B2-E66AE0ACB68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9" authorId="0" shapeId="0" xr:uid="{67B09930-644D-42CB-B965-8F09D565A5DB}">
      <text>
        <r>
          <rPr>
            <sz val="8"/>
            <color indexed="81"/>
            <rFont val="Tahoma"/>
            <family val="2"/>
          </rPr>
          <t>For Multi Shade and
Triple Shade,  
the  Fabric Insert  
options are;
Yes
For Roma Shade 
the  Fabric Insert  
options are;
N/A</t>
        </r>
      </text>
    </comment>
    <comment ref="R29" authorId="0" shapeId="0" xr:uid="{E1BD073B-504B-46D6-AF68-86207A9BF50F}">
      <text>
        <r>
          <rPr>
            <sz val="8"/>
            <color indexed="81"/>
            <rFont val="Tahoma"/>
            <family val="2"/>
          </rPr>
          <t>For Multi Shade, 
the options are;
Standard
Over Roll
For Triple Shade, 
the options are;
Standard
For Roma Shade 
the  options are;
N/A</t>
        </r>
      </text>
    </comment>
    <comment ref="T29" authorId="0" shapeId="0" xr:uid="{00000000-0006-0000-0800-000070010000}">
      <text>
        <r>
          <rPr>
            <sz val="8"/>
            <color indexed="81"/>
            <rFont val="Tahoma"/>
            <family val="2"/>
          </rPr>
          <t>Please use this section 
to specify 
any Special Requirements
for the Line/Order.</t>
        </r>
      </text>
    </comment>
    <comment ref="D30" authorId="0" shapeId="0" xr:uid="{495AA35F-31E3-4A9B-A49B-AE5BC4A07ED5}">
      <text>
        <r>
          <rPr>
            <sz val="8"/>
            <color indexed="81"/>
            <rFont val="Tahoma"/>
            <family val="2"/>
          </rPr>
          <t>The Products options are;
Multi Shade
Roma Shade
Triple Shade</t>
        </r>
      </text>
    </comment>
    <comment ref="E30" authorId="0" shapeId="0" xr:uid="{E6E81A52-32FA-426F-BB1A-6E065598C037}">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0" authorId="0" shapeId="0" xr:uid="{138DEBB5-5757-4A08-8AF4-C06EC69D7A32}">
      <text>
        <r>
          <rPr>
            <sz val="8"/>
            <color indexed="81"/>
            <rFont val="Tahoma"/>
            <family val="2"/>
          </rPr>
          <t>The Colour can only be selected 
once the Product Type &amp; Finish has 
been entered.
Please refer to the Swatches.</t>
        </r>
      </text>
    </comment>
    <comment ref="G30" authorId="0" shapeId="0" xr:uid="{DF036147-C02B-46B8-9CC7-4142844C1C38}">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0" authorId="0" shapeId="0" xr:uid="{324245D0-9192-4BDE-AC76-24B7CEC33AE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0" authorId="0" shapeId="0" xr:uid="{3E770181-2D47-41FC-A8FC-64F26E694225}">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0" authorId="0" shapeId="0" xr:uid="{18938682-3AAC-4F77-AF33-FD781F34AF6C}">
      <text>
        <r>
          <rPr>
            <sz val="8"/>
            <color indexed="81"/>
            <rFont val="Tahoma"/>
            <family val="2"/>
          </rPr>
          <t>The Fitting options are;
Face Fit
Recess Fit</t>
        </r>
      </text>
    </comment>
    <comment ref="K30" authorId="0" shapeId="0" xr:uid="{FD59B01D-F9D1-4C9F-84C0-E1B7886DA23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0" authorId="0" shapeId="0" xr:uid="{AEA1E101-2CA2-4963-884B-D6313C11B919}">
      <text>
        <r>
          <rPr>
            <sz val="8"/>
            <color indexed="81"/>
            <rFont val="Tahoma"/>
            <family val="2"/>
          </rPr>
          <t>The Head Box/Rail 
Colours for 
Multi Shades &amp; Triple Shades are;
Default
Beige
Black
Dark Brown
Grey
Ivory
Light Brown
White
The Head Box/Rail 
Colours for 
Roma Shades are;
N/A</t>
        </r>
      </text>
    </comment>
    <comment ref="M30" authorId="0" shapeId="0" xr:uid="{1D356DB5-A211-4635-BB47-F9F46E7C9B16}">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0" authorId="0" shapeId="0" xr:uid="{44AF39B7-7693-4FE5-B174-6C49C60FAFA7}">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0" authorId="0" shapeId="0" xr:uid="{6DB8934C-8397-4B1B-B004-4C678A119535}">
      <text>
        <r>
          <rPr>
            <sz val="8"/>
            <color indexed="81"/>
            <rFont val="Tahoma"/>
            <family val="2"/>
          </rPr>
          <t>The Chain Length 
options are; 
Default
500mm
750mm
1000mm
1250mm
1500mm
2000mm
Motorised;
N/A</t>
        </r>
      </text>
    </comment>
    <comment ref="P30" authorId="0" shapeId="0" xr:uid="{7E8120D1-BE94-46C0-8081-169810F3DDE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0" authorId="0" shapeId="0" xr:uid="{20FC618D-444A-43BD-ACC6-B52588A639B4}">
      <text>
        <r>
          <rPr>
            <sz val="8"/>
            <color indexed="81"/>
            <rFont val="Tahoma"/>
            <family val="2"/>
          </rPr>
          <t>For Multi Shade and
Triple Shade,  
the  Fabric Insert  
options are;
Yes
For Roma Shade 
the  Fabric Insert  
options are;
N/A</t>
        </r>
      </text>
    </comment>
    <comment ref="R30" authorId="0" shapeId="0" xr:uid="{C383FEF6-EF02-4337-9C4B-5729F07C54DA}">
      <text>
        <r>
          <rPr>
            <sz val="8"/>
            <color indexed="81"/>
            <rFont val="Tahoma"/>
            <family val="2"/>
          </rPr>
          <t>For Multi Shade, 
the options are;
Standard
Over Roll
For Triple Shade, 
the options are;
Standard
For Roma Shade 
the  options are;
N/A</t>
        </r>
      </text>
    </comment>
    <comment ref="T30" authorId="0" shapeId="0" xr:uid="{00000000-0006-0000-0800-000080010000}">
      <text>
        <r>
          <rPr>
            <sz val="8"/>
            <color indexed="81"/>
            <rFont val="Tahoma"/>
            <family val="2"/>
          </rPr>
          <t>Please use this section 
to specify 
any Special Requirements
for the Line/Order.</t>
        </r>
      </text>
    </comment>
    <comment ref="D31" authorId="0" shapeId="0" xr:uid="{5F40586A-6278-47BD-BC31-93AA578991C6}">
      <text>
        <r>
          <rPr>
            <sz val="8"/>
            <color indexed="81"/>
            <rFont val="Tahoma"/>
            <family val="2"/>
          </rPr>
          <t>The Products options are;
Multi Shade
Roma Shade
Triple Shade</t>
        </r>
      </text>
    </comment>
    <comment ref="E31" authorId="0" shapeId="0" xr:uid="{78C8BECC-09ED-4750-A6BD-15AB0299D04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1" authorId="0" shapeId="0" xr:uid="{BBA01AFD-3EDA-46AF-BA05-9FB057426E0F}">
      <text>
        <r>
          <rPr>
            <sz val="8"/>
            <color indexed="81"/>
            <rFont val="Tahoma"/>
            <family val="2"/>
          </rPr>
          <t>The Colour can only be selected 
once the Product Type &amp; Finish has 
been entered.
Please refer to the Swatches.</t>
        </r>
      </text>
    </comment>
    <comment ref="G31" authorId="0" shapeId="0" xr:uid="{1BFA64B1-05F4-4408-97BE-523D15DBDB8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1" authorId="0" shapeId="0" xr:uid="{9AEC4C45-DD21-4738-A900-77623EBC311E}">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1" authorId="0" shapeId="0" xr:uid="{2BA0F61E-EC3F-493E-B857-F04E72685042}">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1" authorId="0" shapeId="0" xr:uid="{A9BF2E23-9D6E-4D99-BC55-9F13CBA7663E}">
      <text>
        <r>
          <rPr>
            <sz val="8"/>
            <color indexed="81"/>
            <rFont val="Tahoma"/>
            <family val="2"/>
          </rPr>
          <t>The Fitting options are;
Face Fit
Recess Fit</t>
        </r>
      </text>
    </comment>
    <comment ref="K31" authorId="0" shapeId="0" xr:uid="{A1A9A7BB-2348-4A1A-88C7-4BE1F1DD87D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1" authorId="0" shapeId="0" xr:uid="{0BA4B73D-AF61-45CE-9B6B-0A7DE2A18EE3}">
      <text>
        <r>
          <rPr>
            <sz val="8"/>
            <color indexed="81"/>
            <rFont val="Tahoma"/>
            <family val="2"/>
          </rPr>
          <t>The Head Box/Rail 
Colours for 
Multi Shades &amp; Triple Shades are;
Default
Beige
Black
Dark Brown
Grey
Ivory
Light Brown
White
The Head Box/Rail 
Colours for 
Roma Shades are;
N/A</t>
        </r>
      </text>
    </comment>
    <comment ref="M31" authorId="0" shapeId="0" xr:uid="{C08F1FD1-B1FF-4D4D-949F-CA27C0B50D5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1" authorId="0" shapeId="0" xr:uid="{3E38C45F-29DF-4254-9109-D89CBE3FBE53}">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1" authorId="0" shapeId="0" xr:uid="{A4E21D29-BE02-4D08-89D3-26A1A84AC3E1}">
      <text>
        <r>
          <rPr>
            <sz val="8"/>
            <color indexed="81"/>
            <rFont val="Tahoma"/>
            <family val="2"/>
          </rPr>
          <t>The Chain Length 
options are; 
Default
500mm
750mm
1000mm
1250mm
1500mm
2000mm
Motorised;
N/A</t>
        </r>
      </text>
    </comment>
    <comment ref="P31" authorId="0" shapeId="0" xr:uid="{95F4AD6E-0F60-4EE2-BD74-23FFE0E954B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1" authorId="0" shapeId="0" xr:uid="{2FA9F406-0146-4ABA-ACE0-69171D8CD26D}">
      <text>
        <r>
          <rPr>
            <sz val="8"/>
            <color indexed="81"/>
            <rFont val="Tahoma"/>
            <family val="2"/>
          </rPr>
          <t>For Multi Shade and
Triple Shade,  
the  Fabric Insert  
options are;
Yes
For Roma Shade 
the  Fabric Insert  
options are;
N/A</t>
        </r>
      </text>
    </comment>
    <comment ref="R31" authorId="0" shapeId="0" xr:uid="{5C564825-B5B0-4DDD-AD29-5DEF6093813F}">
      <text>
        <r>
          <rPr>
            <sz val="8"/>
            <color indexed="81"/>
            <rFont val="Tahoma"/>
            <family val="2"/>
          </rPr>
          <t>For Multi Shade, 
the options are;
Standard
Over Roll
For Triple Shade, 
the options are;
Standard
For Roma Shade 
the  options are;
N/A</t>
        </r>
      </text>
    </comment>
    <comment ref="T31" authorId="0" shapeId="0" xr:uid="{00000000-0006-0000-0800-000090010000}">
      <text>
        <r>
          <rPr>
            <sz val="8"/>
            <color indexed="81"/>
            <rFont val="Tahoma"/>
            <family val="2"/>
          </rPr>
          <t>Please use this section 
to specify 
any Special Requirements
for the Line/Order.</t>
        </r>
      </text>
    </comment>
    <comment ref="D32" authorId="0" shapeId="0" xr:uid="{3CFE2A43-5E49-4437-BA17-56040610F620}">
      <text>
        <r>
          <rPr>
            <sz val="8"/>
            <color indexed="81"/>
            <rFont val="Tahoma"/>
            <family val="2"/>
          </rPr>
          <t>The Products options are;
Multi Shade
Roma Shade
Triple Shade</t>
        </r>
      </text>
    </comment>
    <comment ref="E32" authorId="0" shapeId="0" xr:uid="{F20527AB-996B-4EAA-BCCA-386052480A63}">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2" authorId="0" shapeId="0" xr:uid="{29C82DC1-3FB8-40D9-BDF4-D3C5EE6618B5}">
      <text>
        <r>
          <rPr>
            <sz val="8"/>
            <color indexed="81"/>
            <rFont val="Tahoma"/>
            <family val="2"/>
          </rPr>
          <t>The Colour can only be selected 
once the Product Type &amp; Finish has 
been entered.
Please refer to the Swatches.</t>
        </r>
      </text>
    </comment>
    <comment ref="G32" authorId="0" shapeId="0" xr:uid="{B0462AA4-066E-4C19-908A-7F2CCB17040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2" authorId="0" shapeId="0" xr:uid="{75976577-9D4B-4CCE-A8DF-93DE8E548483}">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2" authorId="0" shapeId="0" xr:uid="{71C40578-9841-4E65-A8C0-726F608948B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2" authorId="0" shapeId="0" xr:uid="{A948A717-DF0A-41DE-9F1D-D9BCCD91AF6E}">
      <text>
        <r>
          <rPr>
            <sz val="8"/>
            <color indexed="81"/>
            <rFont val="Tahoma"/>
            <family val="2"/>
          </rPr>
          <t>The Fitting options are;
Face Fit
Recess Fit</t>
        </r>
      </text>
    </comment>
    <comment ref="K32" authorId="0" shapeId="0" xr:uid="{E6B39930-7632-4662-89BC-AD90FA55416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2" authorId="0" shapeId="0" xr:uid="{69246E52-F54B-4077-93C2-EE5307D0614A}">
      <text>
        <r>
          <rPr>
            <sz val="8"/>
            <color indexed="81"/>
            <rFont val="Tahoma"/>
            <family val="2"/>
          </rPr>
          <t>The Head Box/Rail 
Colours for 
Multi Shades &amp; Triple Shades are;
Default
Beige
Black
Dark Brown
Grey
Ivory
Light Brown
White
The Head Box/Rail 
Colours for 
Roma Shades are;
N/A</t>
        </r>
      </text>
    </comment>
    <comment ref="M32" authorId="0" shapeId="0" xr:uid="{3850F66B-55E8-47FA-8AEF-D9D927B825DE}">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2" authorId="0" shapeId="0" xr:uid="{4722DCD4-D7A2-4DA5-991C-0C3E3946DC7E}">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2" authorId="0" shapeId="0" xr:uid="{C3B7D9D4-3854-4EE8-94FE-C8022C620C29}">
      <text>
        <r>
          <rPr>
            <sz val="8"/>
            <color indexed="81"/>
            <rFont val="Tahoma"/>
            <family val="2"/>
          </rPr>
          <t>The Chain Length 
options are; 
Default
500mm
750mm
1000mm
1250mm
1500mm
2000mm
Motorised;
N/A</t>
        </r>
      </text>
    </comment>
    <comment ref="P32" authorId="0" shapeId="0" xr:uid="{F8D1D282-D5AC-4834-995D-211A1CC24BF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2" authorId="0" shapeId="0" xr:uid="{D72B6103-A880-4649-86C1-3CB5E893B905}">
      <text>
        <r>
          <rPr>
            <sz val="8"/>
            <color indexed="81"/>
            <rFont val="Tahoma"/>
            <family val="2"/>
          </rPr>
          <t>For Multi Shade and
Triple Shade,  
the  Fabric Insert  
options are;
Yes
For Roma Shade 
the  Fabric Insert  
options are;
N/A</t>
        </r>
      </text>
    </comment>
    <comment ref="R32" authorId="0" shapeId="0" xr:uid="{CF0F834D-D923-4223-AF95-C310F1FE13E5}">
      <text>
        <r>
          <rPr>
            <sz val="8"/>
            <color indexed="81"/>
            <rFont val="Tahoma"/>
            <family val="2"/>
          </rPr>
          <t>For Multi Shade, 
the options are;
Standard
Over Roll
For Triple Shade, 
the options are;
Standard
For Roma Shade 
the  options are;
N/A</t>
        </r>
      </text>
    </comment>
    <comment ref="T32" authorId="0" shapeId="0" xr:uid="{00000000-0006-0000-0800-0000A0010000}">
      <text>
        <r>
          <rPr>
            <sz val="8"/>
            <color indexed="81"/>
            <rFont val="Tahoma"/>
            <family val="2"/>
          </rPr>
          <t>Please use this section 
to specify 
any Special Requirements
for the Line/Order.</t>
        </r>
      </text>
    </comment>
    <comment ref="D33" authorId="0" shapeId="0" xr:uid="{CFB8B361-1E43-4F88-839A-C9D491775C95}">
      <text>
        <r>
          <rPr>
            <sz val="8"/>
            <color indexed="81"/>
            <rFont val="Tahoma"/>
            <family val="2"/>
          </rPr>
          <t>The Products options are;
Multi Shade
Roma Shade
Triple Shade</t>
        </r>
      </text>
    </comment>
    <comment ref="E33" authorId="0" shapeId="0" xr:uid="{EA21EB84-7604-40AD-B321-E04B98010A67}">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3" authorId="0" shapeId="0" xr:uid="{D20B4CAD-30A3-4D0B-A74D-32EAB6A07475}">
      <text>
        <r>
          <rPr>
            <sz val="8"/>
            <color indexed="81"/>
            <rFont val="Tahoma"/>
            <family val="2"/>
          </rPr>
          <t>The Colour can only be selected 
once the Product Type &amp; Finish has 
been entered.
Please refer to the Swatches.</t>
        </r>
      </text>
    </comment>
    <comment ref="G33" authorId="0" shapeId="0" xr:uid="{4DA6B93A-66B6-416B-B02D-4B36DB1EB7F1}">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3" authorId="0" shapeId="0" xr:uid="{D937C885-3E3A-4F8C-AD8D-DE4B597D429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3" authorId="0" shapeId="0" xr:uid="{6A8BE9A7-DE00-4AB6-BF52-8A2AA2FCF50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3" authorId="0" shapeId="0" xr:uid="{B7D4AA64-5903-4972-8A57-13BB3B72B860}">
      <text>
        <r>
          <rPr>
            <sz val="8"/>
            <color indexed="81"/>
            <rFont val="Tahoma"/>
            <family val="2"/>
          </rPr>
          <t>The Fitting options are;
Face Fit
Recess Fit</t>
        </r>
      </text>
    </comment>
    <comment ref="K33" authorId="0" shapeId="0" xr:uid="{C1DBB40B-253C-4666-87C4-4D710632E30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3" authorId="0" shapeId="0" xr:uid="{F3DB76B6-45FF-429A-9278-70596B6AD19A}">
      <text>
        <r>
          <rPr>
            <sz val="8"/>
            <color indexed="81"/>
            <rFont val="Tahoma"/>
            <family val="2"/>
          </rPr>
          <t>The Head Box/Rail 
Colours for 
Multi Shades &amp; Triple Shades are;
Default
Beige
Black
Dark Brown
Grey
Ivory
Light Brown
White
The Head Box/Rail 
Colours for 
Roma Shades are;
N/A</t>
        </r>
      </text>
    </comment>
    <comment ref="M33" authorId="0" shapeId="0" xr:uid="{1BE0A871-6F59-4A6D-90CD-5F7E0F9E63B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3" authorId="0" shapeId="0" xr:uid="{096FFC9A-49D4-4A66-BA07-F63C01E860B6}">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3" authorId="0" shapeId="0" xr:uid="{1F6E62EC-269A-4E1E-BCA5-336CD2EEF8F0}">
      <text>
        <r>
          <rPr>
            <sz val="8"/>
            <color indexed="81"/>
            <rFont val="Tahoma"/>
            <family val="2"/>
          </rPr>
          <t>The Chain Length 
options are; 
Default
500mm
750mm
1000mm
1250mm
1500mm
2000mm
Motorised;
N/A</t>
        </r>
      </text>
    </comment>
    <comment ref="P33" authorId="0" shapeId="0" xr:uid="{C2466E7F-D8CD-482A-813D-2C04CAE6E33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3" authorId="0" shapeId="0" xr:uid="{E0BEE98F-9240-45B1-A55A-C374A03D55FB}">
      <text>
        <r>
          <rPr>
            <sz val="8"/>
            <color indexed="81"/>
            <rFont val="Tahoma"/>
            <family val="2"/>
          </rPr>
          <t>For Multi Shade and
Triple Shade,  
the  Fabric Insert  
options are;
Yes
For Roma Shade 
the  Fabric Insert  
options are;
N/A</t>
        </r>
      </text>
    </comment>
    <comment ref="R33" authorId="0" shapeId="0" xr:uid="{431893E1-BBF3-4223-A75A-C95C517695DF}">
      <text>
        <r>
          <rPr>
            <sz val="8"/>
            <color indexed="81"/>
            <rFont val="Tahoma"/>
            <family val="2"/>
          </rPr>
          <t>For Multi Shade, 
the options are;
Standard
Over Roll
For Triple Shade, 
the options are;
Standard
For Roma Shade 
the  options are;
N/A</t>
        </r>
      </text>
    </comment>
    <comment ref="T33" authorId="0" shapeId="0" xr:uid="{00000000-0006-0000-0800-0000B0010000}">
      <text>
        <r>
          <rPr>
            <sz val="8"/>
            <color indexed="81"/>
            <rFont val="Tahoma"/>
            <family val="2"/>
          </rPr>
          <t>Please use this section 
to specify 
any Special Requirements
for the Line/Order.</t>
        </r>
      </text>
    </comment>
    <comment ref="D34" authorId="0" shapeId="0" xr:uid="{A4B60CD9-7571-4081-9C6C-08F7E48D4B2D}">
      <text>
        <r>
          <rPr>
            <sz val="8"/>
            <color indexed="81"/>
            <rFont val="Tahoma"/>
            <family val="2"/>
          </rPr>
          <t>The Products options are;
Multi Shade
Roma Shade
Triple Shade</t>
        </r>
      </text>
    </comment>
    <comment ref="E34" authorId="0" shapeId="0" xr:uid="{B8FEC318-A193-4AFF-B157-CC85D90D5ACE}">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4" authorId="0" shapeId="0" xr:uid="{A6A6D6B8-96D0-426A-A742-3A238E4438C8}">
      <text>
        <r>
          <rPr>
            <sz val="8"/>
            <color indexed="81"/>
            <rFont val="Tahoma"/>
            <family val="2"/>
          </rPr>
          <t>The Colour can only be selected 
once the Product Type &amp; Finish has 
been entered.
Please refer to the Swatches.</t>
        </r>
      </text>
    </comment>
    <comment ref="G34" authorId="0" shapeId="0" xr:uid="{29E79273-4983-484C-ABDF-6863F3792852}">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4" authorId="0" shapeId="0" xr:uid="{FBD8235E-4B05-49E8-BF85-42DDB551CF5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4" authorId="0" shapeId="0" xr:uid="{90C44786-7469-45BA-B2BF-35546E1A750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4" authorId="0" shapeId="0" xr:uid="{EBCC419E-6449-4E2C-AC81-1B81B8525B7B}">
      <text>
        <r>
          <rPr>
            <sz val="8"/>
            <color indexed="81"/>
            <rFont val="Tahoma"/>
            <family val="2"/>
          </rPr>
          <t>The Fitting options are;
Face Fit
Recess Fit</t>
        </r>
      </text>
    </comment>
    <comment ref="K34" authorId="0" shapeId="0" xr:uid="{767BCBC1-8123-4732-A483-5B385CA1667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4" authorId="0" shapeId="0" xr:uid="{94D64F05-073B-4328-A039-73551D863559}">
      <text>
        <r>
          <rPr>
            <sz val="8"/>
            <color indexed="81"/>
            <rFont val="Tahoma"/>
            <family val="2"/>
          </rPr>
          <t>The Head Box/Rail 
Colours for 
Multi Shades &amp; Triple Shades are;
Default
Beige
Black
Dark Brown
Grey
Ivory
Light Brown
White
The Head Box/Rail 
Colours for 
Roma Shades are;
N/A</t>
        </r>
      </text>
    </comment>
    <comment ref="M34" authorId="0" shapeId="0" xr:uid="{16114E59-1BD6-4F44-A02F-5E5CBD08F0EC}">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4" authorId="0" shapeId="0" xr:uid="{24062BE9-4DED-4536-8108-A793118EC4C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4" authorId="0" shapeId="0" xr:uid="{86182B32-74CC-4856-A1F6-C22A9A05F0EF}">
      <text>
        <r>
          <rPr>
            <sz val="8"/>
            <color indexed="81"/>
            <rFont val="Tahoma"/>
            <family val="2"/>
          </rPr>
          <t>The Chain Length 
options are; 
Default
500mm
750mm
1000mm
1250mm
1500mm
2000mm
Motorised;
N/A</t>
        </r>
      </text>
    </comment>
    <comment ref="P34" authorId="0" shapeId="0" xr:uid="{03C2A167-CC94-4650-8A38-FB52ADA92EAF}">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4" authorId="0" shapeId="0" xr:uid="{39301D4F-E7B2-4064-9F8C-0C6F2244AE23}">
      <text>
        <r>
          <rPr>
            <sz val="8"/>
            <color indexed="81"/>
            <rFont val="Tahoma"/>
            <family val="2"/>
          </rPr>
          <t>For Multi Shade and
Triple Shade,  
the  Fabric Insert  
options are;
Yes
For Roma Shade 
the  Fabric Insert  
options are;
N/A</t>
        </r>
      </text>
    </comment>
    <comment ref="R34" authorId="0" shapeId="0" xr:uid="{D3D8209D-C078-47FF-BA33-4CE12DBDD3FD}">
      <text>
        <r>
          <rPr>
            <sz val="8"/>
            <color indexed="81"/>
            <rFont val="Tahoma"/>
            <family val="2"/>
          </rPr>
          <t>For Multi Shade, 
the options are;
Standard
Over Roll
For Triple Shade, 
the options are;
Standard
For Roma Shade 
the  options are;
N/A</t>
        </r>
      </text>
    </comment>
    <comment ref="T34" authorId="0" shapeId="0" xr:uid="{00000000-0006-0000-0800-0000C0010000}">
      <text>
        <r>
          <rPr>
            <sz val="8"/>
            <color indexed="81"/>
            <rFont val="Tahoma"/>
            <family val="2"/>
          </rPr>
          <t>Please use this section 
to specify 
any Special Requirements
for the Line/Order.</t>
        </r>
      </text>
    </comment>
    <comment ref="D35" authorId="0" shapeId="0" xr:uid="{D3E62FD2-425B-428A-9161-4F984C3C0431}">
      <text>
        <r>
          <rPr>
            <sz val="8"/>
            <color indexed="81"/>
            <rFont val="Tahoma"/>
            <family val="2"/>
          </rPr>
          <t>The Products options are;
Multi Shade
Roma Shade
Triple Shade</t>
        </r>
      </text>
    </comment>
    <comment ref="E35" authorId="0" shapeId="0" xr:uid="{99A98A00-E3D3-4D68-BCB8-6415564F4DD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5" authorId="0" shapeId="0" xr:uid="{9E778F69-5832-4E05-B036-27872C93D865}">
      <text>
        <r>
          <rPr>
            <sz val="8"/>
            <color indexed="81"/>
            <rFont val="Tahoma"/>
            <family val="2"/>
          </rPr>
          <t>The Colour can only be selected 
once the Product Type &amp; Finish has 
been entered.
Please refer to the Swatches.</t>
        </r>
      </text>
    </comment>
    <comment ref="G35" authorId="0" shapeId="0" xr:uid="{FDBB6F65-91FA-4F8D-A53E-0DDB2EA235B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5" authorId="0" shapeId="0" xr:uid="{E0199F4D-BAFC-4F5D-8F2E-7EE6F843488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5" authorId="0" shapeId="0" xr:uid="{0968724A-9962-42C4-998C-BC0BC4F6AC4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5" authorId="0" shapeId="0" xr:uid="{EFB286B5-EA1E-4019-AFA5-B83BF5B74223}">
      <text>
        <r>
          <rPr>
            <sz val="8"/>
            <color indexed="81"/>
            <rFont val="Tahoma"/>
            <family val="2"/>
          </rPr>
          <t>The Fitting options are;
Face Fit
Recess Fit</t>
        </r>
      </text>
    </comment>
    <comment ref="K35" authorId="0" shapeId="0" xr:uid="{67EBD80D-A615-4B5C-8256-8D854155EE6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5" authorId="0" shapeId="0" xr:uid="{D5941BF6-7FE3-4AAD-84C3-FE68D862F82F}">
      <text>
        <r>
          <rPr>
            <sz val="8"/>
            <color indexed="81"/>
            <rFont val="Tahoma"/>
            <family val="2"/>
          </rPr>
          <t>The Head Box/Rail 
Colours for 
Multi Shades &amp; Triple Shades are;
Default
Beige
Black
Dark Brown
Grey
Ivory
Light Brown
White
The Head Box/Rail 
Colours for 
Roma Shades are;
N/A</t>
        </r>
      </text>
    </comment>
    <comment ref="M35" authorId="0" shapeId="0" xr:uid="{7BB361F9-64DB-4BDD-B879-C57519977E38}">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5" authorId="0" shapeId="0" xr:uid="{0127D55F-9C5C-4340-9D82-D8C8869A63C1}">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5" authorId="0" shapeId="0" xr:uid="{A3915619-7E89-45F8-B63A-5CF02EE677BB}">
      <text>
        <r>
          <rPr>
            <sz val="8"/>
            <color indexed="81"/>
            <rFont val="Tahoma"/>
            <family val="2"/>
          </rPr>
          <t>The Chain Length 
options are; 
Default
500mm
750mm
1000mm
1250mm
1500mm
2000mm
Motorised;
N/A</t>
        </r>
      </text>
    </comment>
    <comment ref="P35" authorId="0" shapeId="0" xr:uid="{A0DACD04-4F14-407E-AD44-7F7ED7175B1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5" authorId="0" shapeId="0" xr:uid="{94A262C5-5FD3-46BB-9F1D-E7B8D55649C8}">
      <text>
        <r>
          <rPr>
            <sz val="8"/>
            <color indexed="81"/>
            <rFont val="Tahoma"/>
            <family val="2"/>
          </rPr>
          <t>For Multi Shade and
Triple Shade,  
the  Fabric Insert  
options are;
Yes
For Roma Shade 
the  Fabric Insert  
options are;
N/A</t>
        </r>
      </text>
    </comment>
    <comment ref="R35" authorId="0" shapeId="0" xr:uid="{EE431624-4FAC-4CCA-9B43-6336F8F3883B}">
      <text>
        <r>
          <rPr>
            <sz val="8"/>
            <color indexed="81"/>
            <rFont val="Tahoma"/>
            <family val="2"/>
          </rPr>
          <t>For Multi Shade, 
the options are;
Standard
Over Roll
For Triple Shade, 
the options are;
Standard
For Roma Shade 
the  options are;
N/A</t>
        </r>
      </text>
    </comment>
    <comment ref="T35" authorId="0" shapeId="0" xr:uid="{00000000-0006-0000-0800-0000D0010000}">
      <text>
        <r>
          <rPr>
            <sz val="8"/>
            <color indexed="81"/>
            <rFont val="Tahoma"/>
            <family val="2"/>
          </rPr>
          <t>Please use this section 
to specify 
any Special Requirements
for the Line/Order.</t>
        </r>
      </text>
    </comment>
    <comment ref="D36" authorId="0" shapeId="0" xr:uid="{5A1C182D-C198-47D9-8916-A621D2E5A496}">
      <text>
        <r>
          <rPr>
            <sz val="8"/>
            <color indexed="81"/>
            <rFont val="Tahoma"/>
            <family val="2"/>
          </rPr>
          <t>The Products options are;
Multi Shade
Roma Shade
Triple Shade</t>
        </r>
      </text>
    </comment>
    <comment ref="E36" authorId="0" shapeId="0" xr:uid="{FEA5057F-10EA-4478-8E54-8B2E977305BB}">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6" authorId="0" shapeId="0" xr:uid="{C4259CAC-72D6-4682-9388-40853A363059}">
      <text>
        <r>
          <rPr>
            <sz val="8"/>
            <color indexed="81"/>
            <rFont val="Tahoma"/>
            <family val="2"/>
          </rPr>
          <t>The Colour can only be selected 
once the Product Type &amp; Finish has 
been entered.
Please refer to the Swatches.</t>
        </r>
      </text>
    </comment>
    <comment ref="G36" authorId="0" shapeId="0" xr:uid="{E463AD7E-6A9A-482D-883B-74837C80D17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6" authorId="0" shapeId="0" xr:uid="{4630A91F-1056-4B13-903D-ED6B99794281}">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6" authorId="0" shapeId="0" xr:uid="{7162FAE6-F647-4FB0-B64D-9B78A329DCBF}">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6" authorId="0" shapeId="0" xr:uid="{0247D519-2B6F-412B-A10E-FC247C746C7C}">
      <text>
        <r>
          <rPr>
            <sz val="8"/>
            <color indexed="81"/>
            <rFont val="Tahoma"/>
            <family val="2"/>
          </rPr>
          <t>The Fitting options are;
Face Fit
Recess Fit</t>
        </r>
      </text>
    </comment>
    <comment ref="K36" authorId="0" shapeId="0" xr:uid="{74829D71-56DB-4544-A9CD-6D1CF3BB728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6" authorId="0" shapeId="0" xr:uid="{6D718586-36D6-49F3-88A3-AAE4D736A6B6}">
      <text>
        <r>
          <rPr>
            <sz val="8"/>
            <color indexed="81"/>
            <rFont val="Tahoma"/>
            <family val="2"/>
          </rPr>
          <t>The Head Box/Rail 
Colours for 
Multi Shades &amp; Triple Shades are;
Default
Beige
Black
Dark Brown
Grey
Ivory
Light Brown
White
The Head Box/Rail 
Colours for 
Roma Shades are;
N/A</t>
        </r>
      </text>
    </comment>
    <comment ref="M36" authorId="0" shapeId="0" xr:uid="{CF1C22A6-E0EF-483F-BB0C-CB1A89D7053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6" authorId="0" shapeId="0" xr:uid="{A5CCF5D3-6572-442D-994D-C1F1E3C8E28A}">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6" authorId="0" shapeId="0" xr:uid="{CAF5F1BA-8F40-4DE0-A85C-F4093C3D6F3A}">
      <text>
        <r>
          <rPr>
            <sz val="8"/>
            <color indexed="81"/>
            <rFont val="Tahoma"/>
            <family val="2"/>
          </rPr>
          <t>The Chain Length 
options are; 
Default
500mm
750mm
1000mm
1250mm
1500mm
2000mm
Motorised;
N/A</t>
        </r>
      </text>
    </comment>
    <comment ref="P36" authorId="0" shapeId="0" xr:uid="{F175AABB-31A5-43BB-8935-D2E42BF9119A}">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6" authorId="0" shapeId="0" xr:uid="{DD98817D-A39F-462F-81FA-CFE0980131A7}">
      <text>
        <r>
          <rPr>
            <sz val="8"/>
            <color indexed="81"/>
            <rFont val="Tahoma"/>
            <family val="2"/>
          </rPr>
          <t>For Multi Shade and
Triple Shade,  
the  Fabric Insert  
options are;
Yes
For Roma Shade 
the  Fabric Insert  
options are;
N/A</t>
        </r>
      </text>
    </comment>
    <comment ref="R36" authorId="0" shapeId="0" xr:uid="{43D38C31-D4F8-49BA-83E9-2BBE76DE99A1}">
      <text>
        <r>
          <rPr>
            <sz val="8"/>
            <color indexed="81"/>
            <rFont val="Tahoma"/>
            <family val="2"/>
          </rPr>
          <t>For Multi Shade, 
the options are;
Standard
Over Roll
For Triple Shade, 
the options are;
Standard
For Roma Shade 
the  options are;
N/A</t>
        </r>
      </text>
    </comment>
    <comment ref="T36" authorId="0" shapeId="0" xr:uid="{00000000-0006-0000-0800-0000E0010000}">
      <text>
        <r>
          <rPr>
            <sz val="8"/>
            <color indexed="81"/>
            <rFont val="Tahoma"/>
            <family val="2"/>
          </rPr>
          <t>Please use this section 
to specify 
any Special Requirements
for the Line/Order.</t>
        </r>
      </text>
    </comment>
    <comment ref="D37" authorId="0" shapeId="0" xr:uid="{F6701359-DD8C-42FB-945D-F012F4D66D21}">
      <text>
        <r>
          <rPr>
            <sz val="8"/>
            <color indexed="81"/>
            <rFont val="Tahoma"/>
            <family val="2"/>
          </rPr>
          <t>The Products options are;
Multi Shade
Roma Shade
Triple Shade</t>
        </r>
      </text>
    </comment>
    <comment ref="E37" authorId="0" shapeId="0" xr:uid="{30EB0B2B-C404-4F12-9A50-F0168B328A0C}">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7" authorId="0" shapeId="0" xr:uid="{306D23D4-3402-4645-882B-C9A4370D2FA8}">
      <text>
        <r>
          <rPr>
            <sz val="8"/>
            <color indexed="81"/>
            <rFont val="Tahoma"/>
            <family val="2"/>
          </rPr>
          <t>The Colour can only be selected 
once the Product Type &amp; Finish has 
been entered.
Please refer to the Swatches.</t>
        </r>
      </text>
    </comment>
    <comment ref="G37" authorId="0" shapeId="0" xr:uid="{C2789D41-C048-4BBA-9567-C5BEC6D9382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7" authorId="0" shapeId="0" xr:uid="{3EAA06B9-440A-46AD-BA77-2283862DF49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7" authorId="0" shapeId="0" xr:uid="{648C6D8C-B68A-4CC8-B207-D938BD11671D}">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7" authorId="0" shapeId="0" xr:uid="{F7EEBE94-9CB8-4F5F-AED1-6B7F093B28EA}">
      <text>
        <r>
          <rPr>
            <sz val="8"/>
            <color indexed="81"/>
            <rFont val="Tahoma"/>
            <family val="2"/>
          </rPr>
          <t>The Fitting options are;
Face Fit
Recess Fit</t>
        </r>
      </text>
    </comment>
    <comment ref="K37" authorId="0" shapeId="0" xr:uid="{C351D210-94D4-4D72-B23E-CD29B657120F}">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7" authorId="0" shapeId="0" xr:uid="{17A7D704-AEE1-4D26-A2CF-1FE886F32AFE}">
      <text>
        <r>
          <rPr>
            <sz val="8"/>
            <color indexed="81"/>
            <rFont val="Tahoma"/>
            <family val="2"/>
          </rPr>
          <t>The Head Box/Rail 
Colours for 
Multi Shades &amp; Triple Shades are;
Default
Beige
Black
Dark Brown
Grey
Ivory
Light Brown
White
The Head Box/Rail 
Colours for 
Roma Shades are;
N/A</t>
        </r>
      </text>
    </comment>
    <comment ref="M37" authorId="0" shapeId="0" xr:uid="{A65B40E8-04F2-4629-AD75-244C60ADF95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7" authorId="0" shapeId="0" xr:uid="{F09B39C7-48A6-44A0-9E70-4D5EDED41D38}">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7" authorId="0" shapeId="0" xr:uid="{3A00913C-2FD5-4A1A-86D2-18F853545995}">
      <text>
        <r>
          <rPr>
            <sz val="8"/>
            <color indexed="81"/>
            <rFont val="Tahoma"/>
            <family val="2"/>
          </rPr>
          <t>The Chain Length 
options are; 
Default
500mm
750mm
1000mm
1250mm
1500mm
2000mm
Motorised;
N/A</t>
        </r>
      </text>
    </comment>
    <comment ref="P37" authorId="0" shapeId="0" xr:uid="{017F581D-3C85-42B8-A71D-5CFD4AA58825}">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7" authorId="0" shapeId="0" xr:uid="{34A02131-92D3-46E6-AAC7-3BB80B8DDC54}">
      <text>
        <r>
          <rPr>
            <sz val="8"/>
            <color indexed="81"/>
            <rFont val="Tahoma"/>
            <family val="2"/>
          </rPr>
          <t>For Multi Shade and
Triple Shade,  
the  Fabric Insert  
options are;
Yes
For Roma Shade 
the  Fabric Insert  
options are;
N/A</t>
        </r>
      </text>
    </comment>
    <comment ref="R37" authorId="0" shapeId="0" xr:uid="{984B9CCB-AEF9-4B12-B118-225B28248374}">
      <text>
        <r>
          <rPr>
            <sz val="8"/>
            <color indexed="81"/>
            <rFont val="Tahoma"/>
            <family val="2"/>
          </rPr>
          <t>For Multi Shade, 
the options are;
Standard
Over Roll
For Triple Shade, 
the options are;
Standard
For Roma Shade 
the  options are;
N/A</t>
        </r>
      </text>
    </comment>
    <comment ref="T37" authorId="0" shapeId="0" xr:uid="{00000000-0006-0000-0800-0000F0010000}">
      <text>
        <r>
          <rPr>
            <sz val="8"/>
            <color indexed="81"/>
            <rFont val="Tahoma"/>
            <family val="2"/>
          </rPr>
          <t>Please use this section 
to specify 
any Special Requirements
for the Line/Order.</t>
        </r>
      </text>
    </comment>
    <comment ref="D38" authorId="0" shapeId="0" xr:uid="{103FF71D-81AD-418D-A8F4-ABF3B51314FE}">
      <text>
        <r>
          <rPr>
            <sz val="8"/>
            <color indexed="81"/>
            <rFont val="Tahoma"/>
            <family val="2"/>
          </rPr>
          <t>The Products options are;
Multi Shade
Roma Shade
Triple Shade</t>
        </r>
      </text>
    </comment>
    <comment ref="E38" authorId="0" shapeId="0" xr:uid="{DB9E9AA9-7CF6-47FF-860D-D89BA1A51B62}">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8" authorId="0" shapeId="0" xr:uid="{53626B45-2D20-4785-BD2D-1275F108DB9F}">
      <text>
        <r>
          <rPr>
            <sz val="8"/>
            <color indexed="81"/>
            <rFont val="Tahoma"/>
            <family val="2"/>
          </rPr>
          <t>The Colour can only be selected 
once the Product Type &amp; Finish has 
been entered.
Please refer to the Swatches.</t>
        </r>
      </text>
    </comment>
    <comment ref="G38" authorId="0" shapeId="0" xr:uid="{DA49790E-9E88-4143-A694-2240CC9C5145}">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8" authorId="0" shapeId="0" xr:uid="{8CED454D-D0F4-47F8-A46D-6EF3DC176E5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8" authorId="0" shapeId="0" xr:uid="{4BE45C42-16AC-47AC-A8DF-3806AEAE259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8" authorId="0" shapeId="0" xr:uid="{1FA08B8B-C87E-40E9-9632-46F3D0A1997C}">
      <text>
        <r>
          <rPr>
            <sz val="8"/>
            <color indexed="81"/>
            <rFont val="Tahoma"/>
            <family val="2"/>
          </rPr>
          <t>The Fitting options are;
Face Fit
Recess Fit</t>
        </r>
      </text>
    </comment>
    <comment ref="K38" authorId="0" shapeId="0" xr:uid="{58EE3CDB-9E5C-4030-BF7E-C7F879C6D0C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8" authorId="0" shapeId="0" xr:uid="{931E11A6-2FD1-4608-98CC-7FF0F6FDE2C2}">
      <text>
        <r>
          <rPr>
            <sz val="8"/>
            <color indexed="81"/>
            <rFont val="Tahoma"/>
            <family val="2"/>
          </rPr>
          <t>The Head Box/Rail 
Colours for 
Multi Shades &amp; Triple Shades are;
Default
Beige
Black
Dark Brown
Grey
Ivory
Light Brown
White
The Head Box/Rail 
Colours for 
Roma Shades are;
N/A</t>
        </r>
      </text>
    </comment>
    <comment ref="M38" authorId="0" shapeId="0" xr:uid="{72C67FF5-2909-44E2-A8B4-E6F3D5266F6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8" authorId="0" shapeId="0" xr:uid="{20C2DCBB-5357-4CA8-800C-3CC02A436D3F}">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8" authorId="0" shapeId="0" xr:uid="{76A61BC0-EDDE-4C42-BFC7-B4A50E49CEEB}">
      <text>
        <r>
          <rPr>
            <sz val="8"/>
            <color indexed="81"/>
            <rFont val="Tahoma"/>
            <family val="2"/>
          </rPr>
          <t>The Chain Length 
options are; 
Default
500mm
750mm
1000mm
1250mm
1500mm
2000mm
Motorised;
N/A</t>
        </r>
      </text>
    </comment>
    <comment ref="P38" authorId="0" shapeId="0" xr:uid="{C3FB33AE-59FF-456D-B346-E69667D3743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8" authorId="0" shapeId="0" xr:uid="{CD2CC838-6EB1-4FD6-A02F-E053FFB1ACF2}">
      <text>
        <r>
          <rPr>
            <sz val="8"/>
            <color indexed="81"/>
            <rFont val="Tahoma"/>
            <family val="2"/>
          </rPr>
          <t>For Multi Shade and
Triple Shade,  
the  Fabric Insert  
options are;
Yes
For Roma Shade 
the  Fabric Insert  
options are;
N/A</t>
        </r>
      </text>
    </comment>
    <comment ref="R38" authorId="0" shapeId="0" xr:uid="{D77A50C4-0A46-4E1D-B255-31314AFFB7A4}">
      <text>
        <r>
          <rPr>
            <sz val="8"/>
            <color indexed="81"/>
            <rFont val="Tahoma"/>
            <family val="2"/>
          </rPr>
          <t>For Multi Shade, 
the options are;
Standard
Over Roll
For Triple Shade, 
the options are;
Standard
For Roma Shade 
the  options are;
N/A</t>
        </r>
      </text>
    </comment>
    <comment ref="T38" authorId="0" shapeId="0" xr:uid="{00000000-0006-0000-0800-000000020000}">
      <text>
        <r>
          <rPr>
            <sz val="8"/>
            <color indexed="81"/>
            <rFont val="Tahoma"/>
            <family val="2"/>
          </rPr>
          <t>Please use this section 
to specify 
any Special Requirements
for the Line/Order.</t>
        </r>
      </text>
    </comment>
    <comment ref="D39" authorId="0" shapeId="0" xr:uid="{863E42BC-4415-4033-ACC5-E1F3E1BE255A}">
      <text>
        <r>
          <rPr>
            <sz val="8"/>
            <color indexed="81"/>
            <rFont val="Tahoma"/>
            <family val="2"/>
          </rPr>
          <t>The Products options are;
Multi Shade
Roma Shade
Triple Shade</t>
        </r>
      </text>
    </comment>
    <comment ref="E39" authorId="0" shapeId="0" xr:uid="{D9162EA0-2CFC-49AB-B927-1BF40ADF860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9" authorId="0" shapeId="0" xr:uid="{86B4F6C2-6263-4A6B-B4AD-FF96AAB54CE7}">
      <text>
        <r>
          <rPr>
            <sz val="8"/>
            <color indexed="81"/>
            <rFont val="Tahoma"/>
            <family val="2"/>
          </rPr>
          <t>The Colour can only be selected 
once the Product Type &amp; Finish has 
been entered.
Please refer to the Swatches.</t>
        </r>
      </text>
    </comment>
    <comment ref="G39" authorId="0" shapeId="0" xr:uid="{1EAFDA6B-0E61-4A20-B5BB-449BB7F863F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9" authorId="0" shapeId="0" xr:uid="{CA703739-E342-44F5-AF75-8AF9D9151841}">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9" authorId="0" shapeId="0" xr:uid="{1D636D1C-964B-473C-B609-B54F6C403AA2}">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9" authorId="0" shapeId="0" xr:uid="{C2D28CBE-BF46-401D-98E3-2F3557FDA520}">
      <text>
        <r>
          <rPr>
            <sz val="8"/>
            <color indexed="81"/>
            <rFont val="Tahoma"/>
            <family val="2"/>
          </rPr>
          <t>The Fitting options are;
Face Fit
Recess Fit</t>
        </r>
      </text>
    </comment>
    <comment ref="K39" authorId="0" shapeId="0" xr:uid="{17379A23-8211-491B-AA81-61886140108E}">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9" authorId="0" shapeId="0" xr:uid="{491E3215-212B-4AA0-B4DD-FF6B6B7F64BB}">
      <text>
        <r>
          <rPr>
            <sz val="8"/>
            <color indexed="81"/>
            <rFont val="Tahoma"/>
            <family val="2"/>
          </rPr>
          <t>The Head Box/Rail 
Colours for 
Multi Shades &amp; Triple Shades are;
Default
Beige
Black
Dark Brown
Grey
Ivory
Light Brown
White
The Head Box/Rail 
Colours for 
Roma Shades are;
N/A</t>
        </r>
      </text>
    </comment>
    <comment ref="M39" authorId="0" shapeId="0" xr:uid="{B701AECE-2BA6-4942-97F9-B33F18D004A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9" authorId="0" shapeId="0" xr:uid="{8277A7FF-DF8E-455C-9827-B78C74D1F140}">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9" authorId="0" shapeId="0" xr:uid="{075ECFA6-8202-4B20-8B4E-111713FDA612}">
      <text>
        <r>
          <rPr>
            <sz val="8"/>
            <color indexed="81"/>
            <rFont val="Tahoma"/>
            <family val="2"/>
          </rPr>
          <t>The Chain Length 
options are; 
Default
500mm
750mm
1000mm
1250mm
1500mm
2000mm
Motorised;
N/A</t>
        </r>
      </text>
    </comment>
    <comment ref="P39" authorId="0" shapeId="0" xr:uid="{D5530764-68A2-479C-9B4F-EBE30347F409}">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9" authorId="0" shapeId="0" xr:uid="{8B787202-47C2-4C96-A8AA-80C7D6691490}">
      <text>
        <r>
          <rPr>
            <sz val="8"/>
            <color indexed="81"/>
            <rFont val="Tahoma"/>
            <family val="2"/>
          </rPr>
          <t>For Multi Shade and
Triple Shade,  
the  Fabric Insert  
options are;
Yes
For Roma Shade 
the  Fabric Insert  
options are;
N/A</t>
        </r>
      </text>
    </comment>
    <comment ref="R39" authorId="0" shapeId="0" xr:uid="{3148610A-A8DF-4B8B-9956-F3B51B892EDE}">
      <text>
        <r>
          <rPr>
            <sz val="8"/>
            <color indexed="81"/>
            <rFont val="Tahoma"/>
            <family val="2"/>
          </rPr>
          <t>For Multi Shade, 
the options are;
Standard
Over Roll
For Triple Shade, 
the options are;
Standard
For Roma Shade 
the  options are;
N/A</t>
        </r>
      </text>
    </comment>
    <comment ref="T39" authorId="0" shapeId="0" xr:uid="{00000000-0006-0000-0800-000010020000}">
      <text>
        <r>
          <rPr>
            <sz val="8"/>
            <color indexed="81"/>
            <rFont val="Tahoma"/>
            <family val="2"/>
          </rPr>
          <t>Please use this section 
to specify 
any Special Requirements
for the Line/Order.</t>
        </r>
      </text>
    </comment>
    <comment ref="D40" authorId="0" shapeId="0" xr:uid="{4E9C3DD7-7084-4368-80CE-D820681726F5}">
      <text>
        <r>
          <rPr>
            <sz val="8"/>
            <color indexed="81"/>
            <rFont val="Tahoma"/>
            <family val="2"/>
          </rPr>
          <t>The Products options are;
Multi Shade
Roma Shade
Triple Shade</t>
        </r>
      </text>
    </comment>
    <comment ref="E40" authorId="0" shapeId="0" xr:uid="{EC566B47-DAE1-49A2-854D-28FAD33A5854}">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0" authorId="0" shapeId="0" xr:uid="{AFB10A67-650B-4686-9EE2-1FC50AE133A0}">
      <text>
        <r>
          <rPr>
            <sz val="8"/>
            <color indexed="81"/>
            <rFont val="Tahoma"/>
            <family val="2"/>
          </rPr>
          <t>The Colour can only be selected 
once the Product Type &amp; Finish has 
been entered.
Please refer to the Swatches.</t>
        </r>
      </text>
    </comment>
    <comment ref="G40" authorId="0" shapeId="0" xr:uid="{99481BDF-8874-4550-873E-10113915338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0" authorId="0" shapeId="0" xr:uid="{AA2DBF97-802B-4015-A38D-AEB559A6C2C7}">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0" authorId="0" shapeId="0" xr:uid="{D8CC9C09-C7E5-4DD3-9CE8-7A15952EF83E}">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0" authorId="0" shapeId="0" xr:uid="{F2DDA525-38F3-47AA-9EBE-B89F34446CB1}">
      <text>
        <r>
          <rPr>
            <sz val="8"/>
            <color indexed="81"/>
            <rFont val="Tahoma"/>
            <family val="2"/>
          </rPr>
          <t>The Fitting options are;
Face Fit
Recess Fit</t>
        </r>
      </text>
    </comment>
    <comment ref="K40" authorId="0" shapeId="0" xr:uid="{BE8CE41D-1861-49CE-9323-BC49036FC50E}">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0" authorId="0" shapeId="0" xr:uid="{EFA2E01A-D896-49CA-8880-84D274A51F6C}">
      <text>
        <r>
          <rPr>
            <sz val="8"/>
            <color indexed="81"/>
            <rFont val="Tahoma"/>
            <family val="2"/>
          </rPr>
          <t>The Head Box/Rail 
Colours for 
Multi Shades &amp; Triple Shades are;
Default
Beige
Black
Dark Brown
Grey
Ivory
Light Brown
White
The Head Box/Rail 
Colours for 
Roma Shades are;
N/A</t>
        </r>
      </text>
    </comment>
    <comment ref="M40" authorId="0" shapeId="0" xr:uid="{DEA090FD-5DD2-4E6C-9F9A-0AE4B4E3334D}">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0" authorId="0" shapeId="0" xr:uid="{BAE6C839-52F9-4F00-BC9E-CBAB5E686DF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0" authorId="0" shapeId="0" xr:uid="{3EBBFFBA-5301-45BC-BC2D-8DAEE4C92AFD}">
      <text>
        <r>
          <rPr>
            <sz val="8"/>
            <color indexed="81"/>
            <rFont val="Tahoma"/>
            <family val="2"/>
          </rPr>
          <t>The Chain Length 
options are; 
Default
500mm
750mm
1000mm
1250mm
1500mm
2000mm
Motorised;
N/A</t>
        </r>
      </text>
    </comment>
    <comment ref="P40" authorId="0" shapeId="0" xr:uid="{ECD0838C-FA57-4F15-92AF-F6C65285F82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0" authorId="0" shapeId="0" xr:uid="{D094198B-F91C-4FC5-8EEB-60783D80A3EA}">
      <text>
        <r>
          <rPr>
            <sz val="8"/>
            <color indexed="81"/>
            <rFont val="Tahoma"/>
            <family val="2"/>
          </rPr>
          <t>For Multi Shade and
Triple Shade,  
the  Fabric Insert  
options are;
Yes
For Roma Shade 
the  Fabric Insert  
options are;
N/A</t>
        </r>
      </text>
    </comment>
    <comment ref="R40" authorId="0" shapeId="0" xr:uid="{7FF7E28F-AB77-4BAF-B0BB-70407189D059}">
      <text>
        <r>
          <rPr>
            <sz val="8"/>
            <color indexed="81"/>
            <rFont val="Tahoma"/>
            <family val="2"/>
          </rPr>
          <t>For Multi Shade, 
the options are;
Standard
Over Roll
For Triple Shade, 
the options are;
Standard
For Roma Shade 
the  options are;
N/A</t>
        </r>
      </text>
    </comment>
    <comment ref="T40" authorId="0" shapeId="0" xr:uid="{00000000-0006-0000-0800-000020020000}">
      <text>
        <r>
          <rPr>
            <sz val="8"/>
            <color indexed="81"/>
            <rFont val="Tahoma"/>
            <family val="2"/>
          </rPr>
          <t>Please use this section 
to specify 
any Special Requirements
for the Line/Order.</t>
        </r>
      </text>
    </comment>
    <comment ref="D41" authorId="0" shapeId="0" xr:uid="{EA2F4DF3-01FD-464C-BE0D-DC7F219C5DE3}">
      <text>
        <r>
          <rPr>
            <sz val="8"/>
            <color indexed="81"/>
            <rFont val="Tahoma"/>
            <family val="2"/>
          </rPr>
          <t>The Products options are;
Multi Shade
Roma Shade
Triple Shade</t>
        </r>
      </text>
    </comment>
    <comment ref="E41" authorId="0" shapeId="0" xr:uid="{D439F674-DE82-4A58-8EF5-628612597012}">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1" authorId="0" shapeId="0" xr:uid="{CBF3113D-9B97-4041-BF8C-792DA631B0D1}">
      <text>
        <r>
          <rPr>
            <sz val="8"/>
            <color indexed="81"/>
            <rFont val="Tahoma"/>
            <family val="2"/>
          </rPr>
          <t>The Colour can only be selected 
once the Product Type &amp; Finish has 
been entered.
Please refer to the Swatches.</t>
        </r>
      </text>
    </comment>
    <comment ref="G41" authorId="0" shapeId="0" xr:uid="{5C0E5417-ADF9-40A6-AC96-9B5F3DAD8F23}">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1" authorId="0" shapeId="0" xr:uid="{7D9F071D-F9E7-4B88-9792-0A8E68A2578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1" authorId="0" shapeId="0" xr:uid="{3A9946EB-D9D1-4122-871D-1C25DD78E502}">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1" authorId="0" shapeId="0" xr:uid="{DCA816C8-FDE8-4AD7-BAA7-71057DF03D7E}">
      <text>
        <r>
          <rPr>
            <sz val="8"/>
            <color indexed="81"/>
            <rFont val="Tahoma"/>
            <family val="2"/>
          </rPr>
          <t>The Fitting options are;
Face Fit
Recess Fit</t>
        </r>
      </text>
    </comment>
    <comment ref="K41" authorId="0" shapeId="0" xr:uid="{6BBA1CA3-E52B-4CAE-8D5A-8DA499B64757}">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1" authorId="0" shapeId="0" xr:uid="{93C8BD3B-682C-40BB-BDF6-DA119EFD7506}">
      <text>
        <r>
          <rPr>
            <sz val="8"/>
            <color indexed="81"/>
            <rFont val="Tahoma"/>
            <family val="2"/>
          </rPr>
          <t>The Head Box/Rail 
Colours for 
Multi Shades &amp; Triple Shades are;
Default
Beige
Black
Dark Brown
Grey
Ivory
Light Brown
White
The Head Box/Rail 
Colours for 
Roma Shades are;
N/A</t>
        </r>
      </text>
    </comment>
    <comment ref="M41" authorId="0" shapeId="0" xr:uid="{FBECB61D-D72E-41A1-B007-2BA72FA5F22B}">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1" authorId="0" shapeId="0" xr:uid="{30DA0A6B-0FE0-48E2-8F7A-76C954E2D79D}">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1" authorId="0" shapeId="0" xr:uid="{3F7AC2DB-6354-4C13-8DA1-B4B29C934F99}">
      <text>
        <r>
          <rPr>
            <sz val="8"/>
            <color indexed="81"/>
            <rFont val="Tahoma"/>
            <family val="2"/>
          </rPr>
          <t>The Chain Length 
options are; 
Default
500mm
750mm
1000mm
1250mm
1500mm
2000mm
Motorised;
N/A</t>
        </r>
      </text>
    </comment>
    <comment ref="P41" authorId="0" shapeId="0" xr:uid="{AEF2D6B5-0BD4-426A-B299-40EEF0F94550}">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1" authorId="0" shapeId="0" xr:uid="{15BDFF34-9502-4126-879C-7AFF9F3E14E4}">
      <text>
        <r>
          <rPr>
            <sz val="8"/>
            <color indexed="81"/>
            <rFont val="Tahoma"/>
            <family val="2"/>
          </rPr>
          <t>For Multi Shade and
Triple Shade,  
the  Fabric Insert  
options are;
Yes
For Roma Shade 
the  Fabric Insert  
options are;
N/A</t>
        </r>
      </text>
    </comment>
    <comment ref="R41" authorId="0" shapeId="0" xr:uid="{4ABA259C-101E-4FA8-973E-EC202A75DB7A}">
      <text>
        <r>
          <rPr>
            <sz val="8"/>
            <color indexed="81"/>
            <rFont val="Tahoma"/>
            <family val="2"/>
          </rPr>
          <t>For Multi Shade, 
the options are;
Standard
Over Roll
For Triple Shade, 
the options are;
Standard
For Roma Shade 
the  options are;
N/A</t>
        </r>
      </text>
    </comment>
    <comment ref="T41" authorId="0" shapeId="0" xr:uid="{00000000-0006-0000-0800-000030020000}">
      <text>
        <r>
          <rPr>
            <sz val="8"/>
            <color indexed="81"/>
            <rFont val="Tahoma"/>
            <family val="2"/>
          </rPr>
          <t>Please use this section 
to specify 
any Special Requirements
for the Line/Order.</t>
        </r>
      </text>
    </comment>
    <comment ref="D42" authorId="0" shapeId="0" xr:uid="{48460319-022B-432C-9778-C2257AE19CD1}">
      <text>
        <r>
          <rPr>
            <sz val="8"/>
            <color indexed="81"/>
            <rFont val="Tahoma"/>
            <family val="2"/>
          </rPr>
          <t>The Products options are;
Multi Shade
Roma Shade
Triple Shade</t>
        </r>
      </text>
    </comment>
    <comment ref="E42" authorId="0" shapeId="0" xr:uid="{9977F91D-B491-4E48-91DF-221BFE6B1E2F}">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2" authorId="0" shapeId="0" xr:uid="{630BA414-50F2-4DA9-83CF-E2B6ED4C8390}">
      <text>
        <r>
          <rPr>
            <sz val="8"/>
            <color indexed="81"/>
            <rFont val="Tahoma"/>
            <family val="2"/>
          </rPr>
          <t>The Colour can only be selected 
once the Product Type &amp; Finish has 
been entered.
Please refer to the Swatches.</t>
        </r>
      </text>
    </comment>
    <comment ref="G42" authorId="0" shapeId="0" xr:uid="{1FDF87CB-CE6F-49FD-9D14-574D3672F635}">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2" authorId="0" shapeId="0" xr:uid="{85AD6192-EA5F-40FB-BFF5-9EA6F026F6D1}">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2" authorId="0" shapeId="0" xr:uid="{ABE80F26-B89D-49DC-939B-402DB40CC7DA}">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2" authorId="0" shapeId="0" xr:uid="{B9CBAFE9-6B43-4EAE-92ED-888AD349070D}">
      <text>
        <r>
          <rPr>
            <sz val="8"/>
            <color indexed="81"/>
            <rFont val="Tahoma"/>
            <family val="2"/>
          </rPr>
          <t>The Fitting options are;
Face Fit
Recess Fit</t>
        </r>
      </text>
    </comment>
    <comment ref="K42" authorId="0" shapeId="0" xr:uid="{883D3633-DD4A-47DD-BFA3-7590FF8AF9E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2" authorId="0" shapeId="0" xr:uid="{7E9D43E2-477F-44C6-8441-C1AC9B267F35}">
      <text>
        <r>
          <rPr>
            <sz val="8"/>
            <color indexed="81"/>
            <rFont val="Tahoma"/>
            <family val="2"/>
          </rPr>
          <t>The Head Box/Rail 
Colours for 
Multi Shades &amp; Triple Shades are;
Default
Beige
Black
Dark Brown
Grey
Ivory
Light Brown
White
The Head Box/Rail 
Colours for 
Roma Shades are;
N/A</t>
        </r>
      </text>
    </comment>
    <comment ref="M42" authorId="0" shapeId="0" xr:uid="{96E660F0-F627-4F8E-AD38-B920FD2CA71E}">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2" authorId="0" shapeId="0" xr:uid="{CA746752-F632-4DDD-A636-8C65E78BB486}">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2" authorId="0" shapeId="0" xr:uid="{AE5A6B71-77F8-4142-AC69-3E09B754EA26}">
      <text>
        <r>
          <rPr>
            <sz val="8"/>
            <color indexed="81"/>
            <rFont val="Tahoma"/>
            <family val="2"/>
          </rPr>
          <t>The Chain Length 
options are; 
Default
500mm
750mm
1000mm
1250mm
1500mm
2000mm
Motorised;
N/A</t>
        </r>
      </text>
    </comment>
    <comment ref="P42" authorId="0" shapeId="0" xr:uid="{880F1954-193E-40DD-9B38-955311E55B3F}">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2" authorId="0" shapeId="0" xr:uid="{3B4068D5-082E-4BD3-B77B-13B98D692F94}">
      <text>
        <r>
          <rPr>
            <sz val="8"/>
            <color indexed="81"/>
            <rFont val="Tahoma"/>
            <family val="2"/>
          </rPr>
          <t>For Multi Shade and
Triple Shade,  
the  Fabric Insert  
options are;
Yes
For Roma Shade 
the  Fabric Insert  
options are;
N/A</t>
        </r>
      </text>
    </comment>
    <comment ref="R42" authorId="0" shapeId="0" xr:uid="{C20467F4-F8F3-41AE-824B-3CB6255762C4}">
      <text>
        <r>
          <rPr>
            <sz val="8"/>
            <color indexed="81"/>
            <rFont val="Tahoma"/>
            <family val="2"/>
          </rPr>
          <t>For Multi Shade, 
the options are;
Standard
Over Roll
For Triple Shade, 
the options are;
Standard
For Roma Shade 
the  options are;
N/A</t>
        </r>
      </text>
    </comment>
    <comment ref="T42" authorId="0" shapeId="0" xr:uid="{00000000-0006-0000-0800-000040020000}">
      <text>
        <r>
          <rPr>
            <sz val="8"/>
            <color indexed="81"/>
            <rFont val="Tahoma"/>
            <family val="2"/>
          </rPr>
          <t>Please use this section 
to specify 
any Special Requirements
for the Line/Order.</t>
        </r>
      </text>
    </comment>
    <comment ref="D43" authorId="0" shapeId="0" xr:uid="{FDCDFA0A-205E-4307-A52B-DF73ED6CE563}">
      <text>
        <r>
          <rPr>
            <sz val="8"/>
            <color indexed="81"/>
            <rFont val="Tahoma"/>
            <family val="2"/>
          </rPr>
          <t>The Products options are;
Multi Shade
Roma Shade
Triple Shade</t>
        </r>
      </text>
    </comment>
    <comment ref="E43" authorId="0" shapeId="0" xr:uid="{65B4392D-5728-4204-9964-58F119D6A6D4}">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3" authorId="0" shapeId="0" xr:uid="{40E29A23-27E8-4713-8212-846D1F3B1F4F}">
      <text>
        <r>
          <rPr>
            <sz val="8"/>
            <color indexed="81"/>
            <rFont val="Tahoma"/>
            <family val="2"/>
          </rPr>
          <t>The Colour can only be selected 
once the Product Type &amp; Finish has 
been entered.
Please refer to the Swatches.</t>
        </r>
      </text>
    </comment>
    <comment ref="G43" authorId="0" shapeId="0" xr:uid="{A6D20067-5BCE-4408-9FBF-71346BED85AE}">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3" authorId="0" shapeId="0" xr:uid="{D3CD1762-A820-48B8-96A4-D5A55F269C57}">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3" authorId="0" shapeId="0" xr:uid="{2BA3A823-E40D-4B15-8DA5-B1059D1824CC}">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3" authorId="0" shapeId="0" xr:uid="{992026DB-843A-4372-970A-4D0DCB1B5161}">
      <text>
        <r>
          <rPr>
            <sz val="8"/>
            <color indexed="81"/>
            <rFont val="Tahoma"/>
            <family val="2"/>
          </rPr>
          <t>The Fitting options are;
Face Fit
Recess Fit</t>
        </r>
      </text>
    </comment>
    <comment ref="K43" authorId="0" shapeId="0" xr:uid="{2E59ECE8-B2FC-42BA-852B-936839BB8D8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3" authorId="0" shapeId="0" xr:uid="{DB4A47A6-6BB5-4D43-9584-0C90AE460248}">
      <text>
        <r>
          <rPr>
            <sz val="8"/>
            <color indexed="81"/>
            <rFont val="Tahoma"/>
            <family val="2"/>
          </rPr>
          <t>The Head Box/Rail 
Colours for 
Multi Shades &amp; Triple Shades are;
Default
Beige
Black
Dark Brown
Grey
Ivory
Light Brown
White
The Head Box/Rail 
Colours for 
Roma Shades are;
N/A</t>
        </r>
      </text>
    </comment>
    <comment ref="M43" authorId="0" shapeId="0" xr:uid="{4CD4E8C0-2E90-4746-8D90-0B5F776DC025}">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3" authorId="0" shapeId="0" xr:uid="{58D21C03-7326-4772-9922-1EEE40ECBCDE}">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3" authorId="0" shapeId="0" xr:uid="{1AE091D5-7DCD-45FE-9544-23DEA4D00ED8}">
      <text>
        <r>
          <rPr>
            <sz val="8"/>
            <color indexed="81"/>
            <rFont val="Tahoma"/>
            <family val="2"/>
          </rPr>
          <t>The Chain Length 
options are; 
Default
500mm
750mm
1000mm
1250mm
1500mm
2000mm
Motorised;
N/A</t>
        </r>
      </text>
    </comment>
    <comment ref="P43" authorId="0" shapeId="0" xr:uid="{2EE4D046-A857-47F9-8ACD-61C2FA4A0B7D}">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3" authorId="0" shapeId="0" xr:uid="{C928A6A3-7813-4111-84B0-35F81DF44917}">
      <text>
        <r>
          <rPr>
            <sz val="8"/>
            <color indexed="81"/>
            <rFont val="Tahoma"/>
            <family val="2"/>
          </rPr>
          <t>For Multi Shade and
Triple Shade,  
the  Fabric Insert  
options are;
Yes
For Roma Shade 
the  Fabric Insert  
options are;
N/A</t>
        </r>
      </text>
    </comment>
    <comment ref="R43" authorId="0" shapeId="0" xr:uid="{2C35A4AD-0440-48C0-A6D2-B0AADE46CDCA}">
      <text>
        <r>
          <rPr>
            <sz val="8"/>
            <color indexed="81"/>
            <rFont val="Tahoma"/>
            <family val="2"/>
          </rPr>
          <t>For Multi Shade, 
the options are;
Standard
Over Roll
For Triple Shade, 
the options are;
Standard
For Roma Shade 
the  options are;
N/A</t>
        </r>
      </text>
    </comment>
    <comment ref="T43" authorId="0" shapeId="0" xr:uid="{00000000-0006-0000-0800-000050020000}">
      <text>
        <r>
          <rPr>
            <sz val="8"/>
            <color indexed="81"/>
            <rFont val="Tahoma"/>
            <family val="2"/>
          </rPr>
          <t>Please use this section 
to specify 
any Special Requirements
for the Line/Order.</t>
        </r>
      </text>
    </comment>
    <comment ref="D44" authorId="0" shapeId="0" xr:uid="{30FC039F-8C55-419F-8949-C1658609B4E1}">
      <text>
        <r>
          <rPr>
            <sz val="8"/>
            <color indexed="81"/>
            <rFont val="Tahoma"/>
            <family val="2"/>
          </rPr>
          <t>The Products options are;
Multi Shade
Roma Shade
Triple Shade</t>
        </r>
      </text>
    </comment>
    <comment ref="E44" authorId="0" shapeId="0" xr:uid="{EC825E8E-8E3F-4145-9515-BCC62C904AAB}">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4" authorId="0" shapeId="0" xr:uid="{7B5E850A-F4A0-47DF-80FA-9F65292F58B0}">
      <text>
        <r>
          <rPr>
            <sz val="8"/>
            <color indexed="81"/>
            <rFont val="Tahoma"/>
            <family val="2"/>
          </rPr>
          <t>The Colour can only be selected 
once the Product Type &amp; Finish has 
been entered.
Please refer to the Swatches.</t>
        </r>
      </text>
    </comment>
    <comment ref="G44" authorId="0" shapeId="0" xr:uid="{054D4ABF-C2B6-4F41-BA28-BE312E6140DA}">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4" authorId="0" shapeId="0" xr:uid="{3052AF83-C5BD-4529-ACCE-4759033DF29B}">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4" authorId="0" shapeId="0" xr:uid="{CEF0741E-0F27-4656-B678-0AFD4F706BF7}">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4" authorId="0" shapeId="0" xr:uid="{C6E21BD1-2B02-4FDE-8113-70BC0183EBB6}">
      <text>
        <r>
          <rPr>
            <sz val="8"/>
            <color indexed="81"/>
            <rFont val="Tahoma"/>
            <family val="2"/>
          </rPr>
          <t>The Fitting options are;
Face Fit
Recess Fit</t>
        </r>
      </text>
    </comment>
    <comment ref="K44" authorId="0" shapeId="0" xr:uid="{F72B1B08-3A38-44B3-B6AA-47133B40C1D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4" authorId="0" shapeId="0" xr:uid="{B7DE704B-160A-464F-94F6-7E0E9964BF27}">
      <text>
        <r>
          <rPr>
            <sz val="8"/>
            <color indexed="81"/>
            <rFont val="Tahoma"/>
            <family val="2"/>
          </rPr>
          <t>The Head Box/Rail 
Colours for 
Multi Shades &amp; Triple Shades are;
Default
Beige
Black
Dark Brown
Grey
Ivory
Light Brown
White
The Head Box/Rail 
Colours for 
Roma Shades are;
N/A</t>
        </r>
      </text>
    </comment>
    <comment ref="M44" authorId="0" shapeId="0" xr:uid="{6139F955-4FEA-49C6-B0F4-D916ABC6A066}">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4" authorId="0" shapeId="0" xr:uid="{A80590F1-C21A-4703-B8C8-CDF247638B28}">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4" authorId="0" shapeId="0" xr:uid="{D2596612-3CBA-4C99-8C11-E625EC66F173}">
      <text>
        <r>
          <rPr>
            <sz val="8"/>
            <color indexed="81"/>
            <rFont val="Tahoma"/>
            <family val="2"/>
          </rPr>
          <t>The Chain Length 
options are; 
Default
500mm
750mm
1000mm
1250mm
1500mm
2000mm
Motorised;
N/A</t>
        </r>
      </text>
    </comment>
    <comment ref="P44" authorId="0" shapeId="0" xr:uid="{61CDED1A-777F-4AA7-8DD8-5FB622490F5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4" authorId="0" shapeId="0" xr:uid="{8409A1FF-5891-464D-85FB-F55D03EE0AC2}">
      <text>
        <r>
          <rPr>
            <sz val="8"/>
            <color indexed="81"/>
            <rFont val="Tahoma"/>
            <family val="2"/>
          </rPr>
          <t>For Multi Shade and
Triple Shade,  
the  Fabric Insert  
options are;
Yes
For Roma Shade 
the  Fabric Insert  
options are;
N/A</t>
        </r>
      </text>
    </comment>
    <comment ref="R44" authorId="0" shapeId="0" xr:uid="{49F26686-B675-4320-81D7-42FD5C6E524E}">
      <text>
        <r>
          <rPr>
            <sz val="8"/>
            <color indexed="81"/>
            <rFont val="Tahoma"/>
            <family val="2"/>
          </rPr>
          <t>For Multi Shade, 
the options are;
Standard
Over Roll
For Triple Shade, 
the options are;
Standard
For Roma Shade 
the  options are;
N/A</t>
        </r>
      </text>
    </comment>
    <comment ref="T44" authorId="0" shapeId="0" xr:uid="{00000000-0006-0000-0800-000060020000}">
      <text>
        <r>
          <rPr>
            <sz val="8"/>
            <color indexed="81"/>
            <rFont val="Tahoma"/>
            <family val="2"/>
          </rPr>
          <t>Please use this section 
to specify 
any Special Requirements
for the Line/Order.</t>
        </r>
      </text>
    </comment>
    <comment ref="D45" authorId="0" shapeId="0" xr:uid="{0E82FBA2-382D-44E3-A0C6-B5A90A77EA1C}">
      <text>
        <r>
          <rPr>
            <sz val="8"/>
            <color indexed="81"/>
            <rFont val="Tahoma"/>
            <family val="2"/>
          </rPr>
          <t>The Products options are;
Multi Shade
Roma Shade
Triple Shade</t>
        </r>
      </text>
    </comment>
    <comment ref="E45" authorId="0" shapeId="0" xr:uid="{58E1086E-651D-47B9-8B51-49A7CF26B180}">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5" authorId="0" shapeId="0" xr:uid="{6B08B70D-3E71-4041-A0E9-ED1F6F6A67E9}">
      <text>
        <r>
          <rPr>
            <sz val="8"/>
            <color indexed="81"/>
            <rFont val="Tahoma"/>
            <family val="2"/>
          </rPr>
          <t>The Colour can only be selected 
once the Product Type &amp; Finish has 
been entered.
Please refer to the Swatches.</t>
        </r>
      </text>
    </comment>
    <comment ref="G45" authorId="0" shapeId="0" xr:uid="{BD984B3D-AB9D-423E-A66E-D379AD184CE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5" authorId="0" shapeId="0" xr:uid="{EC5B2895-8487-42F2-8E43-EC087815732B}">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5" authorId="0" shapeId="0" xr:uid="{CA22CE7E-89BD-4FC0-A888-1222501596B9}">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5" authorId="0" shapeId="0" xr:uid="{5C510D60-4621-4DAF-A14A-4F0BDDCA2415}">
      <text>
        <r>
          <rPr>
            <sz val="8"/>
            <color indexed="81"/>
            <rFont val="Tahoma"/>
            <family val="2"/>
          </rPr>
          <t>The Fitting options are;
Face Fit
Recess Fit</t>
        </r>
      </text>
    </comment>
    <comment ref="K45" authorId="0" shapeId="0" xr:uid="{CE43BA6A-AC5E-4F0D-9B78-2AA3B5A037E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5" authorId="0" shapeId="0" xr:uid="{ECA7306D-7703-4658-8D63-7EACC1643B81}">
      <text>
        <r>
          <rPr>
            <sz val="8"/>
            <color indexed="81"/>
            <rFont val="Tahoma"/>
            <family val="2"/>
          </rPr>
          <t>The Head Box/Rail 
Colours for 
Multi Shades &amp; Triple Shades are;
Default
Beige
Black
Dark Brown
Grey
Ivory
Light Brown
White
The Head Box/Rail 
Colours for 
Roma Shades are;
N/A</t>
        </r>
      </text>
    </comment>
    <comment ref="M45" authorId="0" shapeId="0" xr:uid="{73F1F9BA-BE40-450B-AE92-402293E3110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5" authorId="0" shapeId="0" xr:uid="{79D8628A-FE3F-471B-BC2D-EAC48D1159B8}">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5" authorId="0" shapeId="0" xr:uid="{AF2BF332-999F-43B2-A0ED-C50B561E11E5}">
      <text>
        <r>
          <rPr>
            <sz val="8"/>
            <color indexed="81"/>
            <rFont val="Tahoma"/>
            <family val="2"/>
          </rPr>
          <t>The Chain Length 
options are; 
Default
500mm
750mm
1000mm
1250mm
1500mm
2000mm
Motorised;
N/A</t>
        </r>
      </text>
    </comment>
    <comment ref="P45" authorId="0" shapeId="0" xr:uid="{F86AEDE1-BFC1-4136-A88A-BBABA567E783}">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5" authorId="0" shapeId="0" xr:uid="{52BB3B2C-E56D-4BC8-8A8F-3B2BDDCA5F50}">
      <text>
        <r>
          <rPr>
            <sz val="8"/>
            <color indexed="81"/>
            <rFont val="Tahoma"/>
            <family val="2"/>
          </rPr>
          <t>For Multi Shade and
Triple Shade,  
the  Fabric Insert  
options are;
Yes
For Roma Shade 
the  Fabric Insert  
options are;
N/A</t>
        </r>
      </text>
    </comment>
    <comment ref="R45" authorId="0" shapeId="0" xr:uid="{DE0B06A0-7F86-4384-8878-D84C896F7296}">
      <text>
        <r>
          <rPr>
            <sz val="8"/>
            <color indexed="81"/>
            <rFont val="Tahoma"/>
            <family val="2"/>
          </rPr>
          <t>For Multi Shade, 
the options are;
Standard
Over Roll
For Triple Shade, 
the options are;
Standard
For Roma Shade 
the  options are;
N/A</t>
        </r>
      </text>
    </comment>
    <comment ref="T45" authorId="0" shapeId="0" xr:uid="{00000000-0006-0000-0800-000070020000}">
      <text>
        <r>
          <rPr>
            <sz val="8"/>
            <color indexed="81"/>
            <rFont val="Tahoma"/>
            <family val="2"/>
          </rPr>
          <t>Please use this section 
to specify 
any Special Requirements
for the Line/Order.</t>
        </r>
      </text>
    </comment>
    <comment ref="D46" authorId="0" shapeId="0" xr:uid="{03573783-AD04-454C-B240-6A73456C537C}">
      <text>
        <r>
          <rPr>
            <sz val="8"/>
            <color indexed="81"/>
            <rFont val="Tahoma"/>
            <family val="2"/>
          </rPr>
          <t>The Products options are;
Multi Shade
Roma Shade
Triple Shade</t>
        </r>
      </text>
    </comment>
    <comment ref="E46" authorId="0" shapeId="0" xr:uid="{CF3DC6CB-AFE0-42B8-B4A8-52078E03F17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6" authorId="0" shapeId="0" xr:uid="{1A5B7ECB-40DF-43BE-B7BC-174A99C04165}">
      <text>
        <r>
          <rPr>
            <sz val="8"/>
            <color indexed="81"/>
            <rFont val="Tahoma"/>
            <family val="2"/>
          </rPr>
          <t>The Colour can only be selected 
once the Product Type &amp; Finish has 
been entered.
Please refer to the Swatches.</t>
        </r>
      </text>
    </comment>
    <comment ref="G46" authorId="0" shapeId="0" xr:uid="{EABF8CF7-5608-4B76-AFCE-2DD414482EA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6" authorId="0" shapeId="0" xr:uid="{E2EC4A0A-0C8B-44F5-9659-6C2455AF134B}">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6" authorId="0" shapeId="0" xr:uid="{734A3ADD-C2BB-48FB-9949-C5E11CD4429B}">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6" authorId="0" shapeId="0" xr:uid="{D4B4DB79-9C5C-4BFF-A4A9-D82F06E424FD}">
      <text>
        <r>
          <rPr>
            <sz val="8"/>
            <color indexed="81"/>
            <rFont val="Tahoma"/>
            <family val="2"/>
          </rPr>
          <t>The Fitting options are;
Face Fit
Recess Fit</t>
        </r>
      </text>
    </comment>
    <comment ref="K46" authorId="0" shapeId="0" xr:uid="{AF0047B2-38E4-4CCA-8359-49A60A8348B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6" authorId="0" shapeId="0" xr:uid="{99633891-376C-4BED-BA40-2B901E554172}">
      <text>
        <r>
          <rPr>
            <sz val="8"/>
            <color indexed="81"/>
            <rFont val="Tahoma"/>
            <family val="2"/>
          </rPr>
          <t>The Head Box/Rail 
Colours for 
Multi Shades &amp; Triple Shades are;
Default
Beige
Black
Dark Brown
Grey
Ivory
Light Brown
White
The Head Box/Rail 
Colours for 
Roma Shades are;
N/A</t>
        </r>
      </text>
    </comment>
    <comment ref="M46" authorId="0" shapeId="0" xr:uid="{F219ED42-F1C6-4679-90E5-DD1D8893E285}">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6" authorId="0" shapeId="0" xr:uid="{9FA801F5-F796-48AD-90AE-069688DBC95B}">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6" authorId="0" shapeId="0" xr:uid="{010049D3-EE56-4E69-9990-A5980AA82FD1}">
      <text>
        <r>
          <rPr>
            <sz val="8"/>
            <color indexed="81"/>
            <rFont val="Tahoma"/>
            <family val="2"/>
          </rPr>
          <t>The Chain Length 
options are; 
Default
500mm
750mm
1000mm
1250mm
1500mm
2000mm
Motorised;
N/A</t>
        </r>
      </text>
    </comment>
    <comment ref="P46" authorId="0" shapeId="0" xr:uid="{90B2A768-46EA-4887-99C2-C4E5DF3C414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6" authorId="0" shapeId="0" xr:uid="{D52DC2EE-8C33-4665-8BBE-47193028DAAB}">
      <text>
        <r>
          <rPr>
            <sz val="8"/>
            <color indexed="81"/>
            <rFont val="Tahoma"/>
            <family val="2"/>
          </rPr>
          <t>For Multi Shade and
Triple Shade,  
the  Fabric Insert  
options are;
Yes
For Roma Shade 
the  Fabric Insert  
options are;
N/A</t>
        </r>
      </text>
    </comment>
    <comment ref="R46" authorId="0" shapeId="0" xr:uid="{5293D915-40B9-4D39-875E-35C89C970970}">
      <text>
        <r>
          <rPr>
            <sz val="8"/>
            <color indexed="81"/>
            <rFont val="Tahoma"/>
            <family val="2"/>
          </rPr>
          <t>For Multi Shade, 
the options are;
Standard
Over Roll
For Triple Shade, 
the options are;
Standard
For Roma Shade 
the  options are;
N/A</t>
        </r>
      </text>
    </comment>
    <comment ref="T46" authorId="0" shapeId="0" xr:uid="{00000000-0006-0000-0800-000080020000}">
      <text>
        <r>
          <rPr>
            <sz val="8"/>
            <color indexed="81"/>
            <rFont val="Tahoma"/>
            <family val="2"/>
          </rPr>
          <t>Please use this section 
to specify 
any Special Requirements
for the Line/Order.</t>
        </r>
      </text>
    </comment>
    <comment ref="D47" authorId="0" shapeId="0" xr:uid="{EB2238E0-16FA-4949-AC5A-5F200D435A14}">
      <text>
        <r>
          <rPr>
            <sz val="8"/>
            <color indexed="81"/>
            <rFont val="Tahoma"/>
            <family val="2"/>
          </rPr>
          <t>The Products options are;
Multi Shade
Roma Shade
Triple Shade</t>
        </r>
      </text>
    </comment>
    <comment ref="E47" authorId="0" shapeId="0" xr:uid="{4408FB03-41AC-4AF0-AFB6-17B3CD24BDD1}">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7" authorId="0" shapeId="0" xr:uid="{AB8C934E-7C5B-4BF4-BA91-9FF546E424F3}">
      <text>
        <r>
          <rPr>
            <sz val="8"/>
            <color indexed="81"/>
            <rFont val="Tahoma"/>
            <family val="2"/>
          </rPr>
          <t>The Colour can only be selected 
once the Product Type &amp; Finish has 
been entered.
Please refer to the Swatches.</t>
        </r>
      </text>
    </comment>
    <comment ref="G47" authorId="0" shapeId="0" xr:uid="{2C80C2BC-8DED-44CD-8AE4-17E2093FA195}">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7" authorId="0" shapeId="0" xr:uid="{49DE40FB-FD76-41C7-A3A2-99775CEECD9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7" authorId="0" shapeId="0" xr:uid="{1038E3F6-229A-4CA1-9C17-2EBCCD5F929A}">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7" authorId="0" shapeId="0" xr:uid="{41F986AD-605A-441F-BC47-70BC2E77740A}">
      <text>
        <r>
          <rPr>
            <sz val="8"/>
            <color indexed="81"/>
            <rFont val="Tahoma"/>
            <family val="2"/>
          </rPr>
          <t>The Fitting options are;
Face Fit
Recess Fit</t>
        </r>
      </text>
    </comment>
    <comment ref="K47" authorId="0" shapeId="0" xr:uid="{2A0C2200-B316-4B2B-A6F3-D6EC95AE29B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7" authorId="0" shapeId="0" xr:uid="{C14525C8-C628-4970-87BF-8E93C332E1E9}">
      <text>
        <r>
          <rPr>
            <sz val="8"/>
            <color indexed="81"/>
            <rFont val="Tahoma"/>
            <family val="2"/>
          </rPr>
          <t>The Head Box/Rail 
Colours for 
Multi Shades &amp; Triple Shades are;
Default
Beige
Black
Dark Brown
Grey
Ivory
Light Brown
White
The Head Box/Rail 
Colours for 
Roma Shades are;
N/A</t>
        </r>
      </text>
    </comment>
    <comment ref="M47" authorId="0" shapeId="0" xr:uid="{A74B47E7-4F76-4804-A0A2-A17CA302C85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7" authorId="0" shapeId="0" xr:uid="{0332CD04-C2DB-4232-807A-B02412690721}">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7" authorId="0" shapeId="0" xr:uid="{986F5E1A-217F-42E5-88B1-356B432B75E8}">
      <text>
        <r>
          <rPr>
            <sz val="8"/>
            <color indexed="81"/>
            <rFont val="Tahoma"/>
            <family val="2"/>
          </rPr>
          <t>The Chain Length 
options are; 
Default
500mm
750mm
1000mm
1250mm
1500mm
2000mm
Motorised;
N/A</t>
        </r>
      </text>
    </comment>
    <comment ref="P47" authorId="0" shapeId="0" xr:uid="{98234D40-0333-4F7C-9850-D9F0330E023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7" authorId="0" shapeId="0" xr:uid="{72016267-FD38-4522-9179-5AF5E6215467}">
      <text>
        <r>
          <rPr>
            <sz val="8"/>
            <color indexed="81"/>
            <rFont val="Tahoma"/>
            <family val="2"/>
          </rPr>
          <t>For Multi Shade and
Triple Shade,  
the  Fabric Insert  
options are;
Yes
For Roma Shade 
the  Fabric Insert  
options are;
N/A</t>
        </r>
      </text>
    </comment>
    <comment ref="R47" authorId="0" shapeId="0" xr:uid="{CC1706BB-469D-4C06-AD61-F4CACD627B4C}">
      <text>
        <r>
          <rPr>
            <sz val="8"/>
            <color indexed="81"/>
            <rFont val="Tahoma"/>
            <family val="2"/>
          </rPr>
          <t>For Multi Shade, 
the options are;
Standard
Over Roll
For Triple Shade, 
the options are;
Standard
For Roma Shade 
the  options are;
N/A</t>
        </r>
      </text>
    </comment>
    <comment ref="T47" authorId="0" shapeId="0" xr:uid="{00000000-0006-0000-0800-000090020000}">
      <text>
        <r>
          <rPr>
            <sz val="8"/>
            <color indexed="81"/>
            <rFont val="Tahoma"/>
            <family val="2"/>
          </rPr>
          <t>Please use this section 
to specify 
any Special Requirements
for the Line/Order.</t>
        </r>
      </text>
    </comment>
    <comment ref="D48" authorId="0" shapeId="0" xr:uid="{FE1762B9-FD58-47C5-861B-39CD9AFAF22E}">
      <text>
        <r>
          <rPr>
            <sz val="8"/>
            <color indexed="81"/>
            <rFont val="Tahoma"/>
            <family val="2"/>
          </rPr>
          <t>The Products options are;
Multi Shade
Roma Shade
Triple Shade</t>
        </r>
      </text>
    </comment>
    <comment ref="E48" authorId="0" shapeId="0" xr:uid="{BF15729F-7E89-44A9-8454-B69C772EBC82}">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8" authorId="0" shapeId="0" xr:uid="{1D2B4D15-AF3A-4C3B-9394-07B66B696B7D}">
      <text>
        <r>
          <rPr>
            <sz val="8"/>
            <color indexed="81"/>
            <rFont val="Tahoma"/>
            <family val="2"/>
          </rPr>
          <t>The Colour can only be selected 
once the Product Type &amp; Finish has 
been entered.
Please refer to the Swatches.</t>
        </r>
      </text>
    </comment>
    <comment ref="G48" authorId="0" shapeId="0" xr:uid="{AB3CD601-B74A-4D46-841D-E5E1E3422D4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8" authorId="0" shapeId="0" xr:uid="{551037EE-9B68-48BA-A513-291DCDC2F7D7}">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8" authorId="0" shapeId="0" xr:uid="{8677ADAF-E863-4D1F-9DE8-E9378D51B887}">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8" authorId="0" shapeId="0" xr:uid="{287F9057-9D38-4B44-B89D-8E9203C82E3A}">
      <text>
        <r>
          <rPr>
            <sz val="8"/>
            <color indexed="81"/>
            <rFont val="Tahoma"/>
            <family val="2"/>
          </rPr>
          <t>The Fitting options are;
Face Fit
Recess Fit</t>
        </r>
      </text>
    </comment>
    <comment ref="K48" authorId="0" shapeId="0" xr:uid="{53D86AB9-5674-4FEB-AAC4-485E1B3920B4}">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8" authorId="0" shapeId="0" xr:uid="{B3FF87E4-58DD-4417-8472-0907E45D0BAF}">
      <text>
        <r>
          <rPr>
            <sz val="8"/>
            <color indexed="81"/>
            <rFont val="Tahoma"/>
            <family val="2"/>
          </rPr>
          <t>The Head Box/Rail 
Colours for 
Multi Shades &amp; Triple Shades are;
Default
Beige
Black
Dark Brown
Grey
Ivory
Light Brown
White
The Head Box/Rail 
Colours for 
Roma Shades are;
N/A</t>
        </r>
      </text>
    </comment>
    <comment ref="M48" authorId="0" shapeId="0" xr:uid="{9CFDF74D-453B-4A2B-B124-7CE02CEEBA26}">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8" authorId="0" shapeId="0" xr:uid="{3699FE13-372A-4AE4-AEF0-D869C22EA5C2}">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8" authorId="0" shapeId="0" xr:uid="{2E52D15D-8D84-4A67-B30E-C27335E359C5}">
      <text>
        <r>
          <rPr>
            <sz val="8"/>
            <color indexed="81"/>
            <rFont val="Tahoma"/>
            <family val="2"/>
          </rPr>
          <t>The Chain Length 
options are; 
Default
500mm
750mm
1000mm
1250mm
1500mm
2000mm
Motorised;
N/A</t>
        </r>
      </text>
    </comment>
    <comment ref="P48" authorId="0" shapeId="0" xr:uid="{78687D1E-F8DE-4186-8441-458A0EB31EBD}">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8" authorId="0" shapeId="0" xr:uid="{5A7D35C6-E6A5-45E3-A6EE-B866B66A8596}">
      <text>
        <r>
          <rPr>
            <sz val="8"/>
            <color indexed="81"/>
            <rFont val="Tahoma"/>
            <family val="2"/>
          </rPr>
          <t>For Multi Shade and
Triple Shade,  
the  Fabric Insert  
options are;
Yes
For Roma Shade 
the  Fabric Insert  
options are;
N/A</t>
        </r>
      </text>
    </comment>
    <comment ref="R48" authorId="0" shapeId="0" xr:uid="{4A43AD6C-47BD-49C8-8EB7-DF3CECC24D20}">
      <text>
        <r>
          <rPr>
            <sz val="8"/>
            <color indexed="81"/>
            <rFont val="Tahoma"/>
            <family val="2"/>
          </rPr>
          <t>For Multi Shade, 
the options are;
Standard
Over Roll
For Triple Shade, 
the options are;
Standard
For Roma Shade 
the  options are;
N/A</t>
        </r>
      </text>
    </comment>
    <comment ref="T48" authorId="0" shapeId="0" xr:uid="{00000000-0006-0000-0800-0000A0020000}">
      <text>
        <r>
          <rPr>
            <sz val="8"/>
            <color indexed="81"/>
            <rFont val="Tahoma"/>
            <family val="2"/>
          </rPr>
          <t>Please use this section 
to specify 
any Special Requirements
for the Line/Order.</t>
        </r>
      </text>
    </comment>
    <comment ref="D49" authorId="0" shapeId="0" xr:uid="{F814703F-B22C-456E-BBD4-79D0233F9A36}">
      <text>
        <r>
          <rPr>
            <sz val="8"/>
            <color indexed="81"/>
            <rFont val="Tahoma"/>
            <family val="2"/>
          </rPr>
          <t>The Products options are;
Multi Shade
Roma Shade
Triple Shade</t>
        </r>
      </text>
    </comment>
    <comment ref="E49" authorId="0" shapeId="0" xr:uid="{1B76E697-9D93-45D5-B876-D4647F5DF85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9" authorId="0" shapeId="0" xr:uid="{692A63E6-E646-47F6-84A0-E143F27497E9}">
      <text>
        <r>
          <rPr>
            <sz val="8"/>
            <color indexed="81"/>
            <rFont val="Tahoma"/>
            <family val="2"/>
          </rPr>
          <t>The Colour can only be selected 
once the Product Type &amp; Finish has 
been entered.
Please refer to the Swatches.</t>
        </r>
      </text>
    </comment>
    <comment ref="G49" authorId="0" shapeId="0" xr:uid="{D89B5567-59D1-40FC-A124-5266FDE5125D}">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9" authorId="0" shapeId="0" xr:uid="{72269179-B505-45B2-B1B6-D4B9666095FE}">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9" authorId="0" shapeId="0" xr:uid="{9EF75448-0435-4AC3-B147-E80B6F6A1300}">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9" authorId="0" shapeId="0" xr:uid="{E0EE4D12-C0D6-4103-9F10-F600F54251E5}">
      <text>
        <r>
          <rPr>
            <sz val="8"/>
            <color indexed="81"/>
            <rFont val="Tahoma"/>
            <family val="2"/>
          </rPr>
          <t>The Fitting options are;
Face Fit
Recess Fit</t>
        </r>
      </text>
    </comment>
    <comment ref="K49" authorId="0" shapeId="0" xr:uid="{B286BD0D-3B69-403F-BC10-656F01E7917D}">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9" authorId="0" shapeId="0" xr:uid="{12FAA58E-E7CD-411C-B258-A567B0EF769D}">
      <text>
        <r>
          <rPr>
            <sz val="8"/>
            <color indexed="81"/>
            <rFont val="Tahoma"/>
            <family val="2"/>
          </rPr>
          <t>The Head Box/Rail 
Colours for 
Multi Shades &amp; Triple Shades are;
Default
Beige
Black
Dark Brown
Grey
Ivory
Light Brown
White
The Head Box/Rail 
Colours for 
Roma Shades are;
N/A</t>
        </r>
      </text>
    </comment>
    <comment ref="M49" authorId="0" shapeId="0" xr:uid="{CDD5C587-C964-44E9-962F-9A62A6AC27C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9" authorId="0" shapeId="0" xr:uid="{A0B0A96C-A464-4884-9D28-D3BEA75C9FFA}">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9" authorId="0" shapeId="0" xr:uid="{418C8FCF-D1ED-478D-8C99-A25EC09BC460}">
      <text>
        <r>
          <rPr>
            <sz val="8"/>
            <color indexed="81"/>
            <rFont val="Tahoma"/>
            <family val="2"/>
          </rPr>
          <t>The Chain Length 
options are; 
Default
500mm
750mm
1000mm
1250mm
1500mm
2000mm
Motorised;
N/A</t>
        </r>
      </text>
    </comment>
    <comment ref="P49" authorId="0" shapeId="0" xr:uid="{8E922B92-9B86-4588-9944-FB146D961CA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9" authorId="0" shapeId="0" xr:uid="{EC6A4D99-73C0-4485-9AE2-D93A227E7C7C}">
      <text>
        <r>
          <rPr>
            <sz val="8"/>
            <color indexed="81"/>
            <rFont val="Tahoma"/>
            <family val="2"/>
          </rPr>
          <t>For Multi Shade and
Triple Shade,  
the  Fabric Insert  
options are;
Yes
For Roma Shade 
the  Fabric Insert  
options are;
N/A</t>
        </r>
      </text>
    </comment>
    <comment ref="R49" authorId="0" shapeId="0" xr:uid="{E35E796B-DA2F-4020-8586-B18645581DB8}">
      <text>
        <r>
          <rPr>
            <sz val="8"/>
            <color indexed="81"/>
            <rFont val="Tahoma"/>
            <family val="2"/>
          </rPr>
          <t>For Multi Shade, 
the options are;
Standard
Over Roll
For Triple Shade, 
the options are;
Standard
For Roma Shade 
the  options are;
N/A</t>
        </r>
      </text>
    </comment>
    <comment ref="T49" authorId="0" shapeId="0" xr:uid="{00000000-0006-0000-0800-0000B0020000}">
      <text>
        <r>
          <rPr>
            <sz val="8"/>
            <color indexed="81"/>
            <rFont val="Tahoma"/>
            <family val="2"/>
          </rPr>
          <t>Please use this section 
to specify 
any Special Requirements
for the Line/Order.</t>
        </r>
      </text>
    </comment>
    <comment ref="D50" authorId="0" shapeId="0" xr:uid="{31A92AFD-E432-4199-8CD0-F342890DB18D}">
      <text>
        <r>
          <rPr>
            <sz val="8"/>
            <color indexed="81"/>
            <rFont val="Tahoma"/>
            <family val="2"/>
          </rPr>
          <t>The Products options are;
Multi Shade
Roma Shade
Triple Shade</t>
        </r>
      </text>
    </comment>
    <comment ref="E50" authorId="0" shapeId="0" xr:uid="{4B7E7A49-53E7-4E1E-AE0A-73E90ED9DD23}">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0" authorId="0" shapeId="0" xr:uid="{CDF6A885-EA22-49CF-B6EC-C019834332E7}">
      <text>
        <r>
          <rPr>
            <sz val="8"/>
            <color indexed="81"/>
            <rFont val="Tahoma"/>
            <family val="2"/>
          </rPr>
          <t>The Colour can only be selected 
once the Product Type &amp; Finish has 
been entered.
Please refer to the Swatches.</t>
        </r>
      </text>
    </comment>
    <comment ref="G50" authorId="0" shapeId="0" xr:uid="{2E6ADCE1-F84D-4417-9683-1541F143B31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0" authorId="0" shapeId="0" xr:uid="{50F8C091-AE6E-4315-A86B-3CE0B9E29A6C}">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0" authorId="0" shapeId="0" xr:uid="{34F45B85-0D95-4312-8941-EF672C8E3FF0}">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0" authorId="0" shapeId="0" xr:uid="{687293B6-3B49-48FB-8A4A-DA25F8692FA5}">
      <text>
        <r>
          <rPr>
            <sz val="8"/>
            <color indexed="81"/>
            <rFont val="Tahoma"/>
            <family val="2"/>
          </rPr>
          <t>The Fitting options are;
Face Fit
Recess Fit</t>
        </r>
      </text>
    </comment>
    <comment ref="K50" authorId="0" shapeId="0" xr:uid="{523526D2-8148-48A4-9109-C4AE18BDD53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0" authorId="0" shapeId="0" xr:uid="{F0F89F03-2A0B-4475-89DD-E2E05C97DE8B}">
      <text>
        <r>
          <rPr>
            <sz val="8"/>
            <color indexed="81"/>
            <rFont val="Tahoma"/>
            <family val="2"/>
          </rPr>
          <t>The Head Box/Rail 
Colours for 
Multi Shades &amp; Triple Shades are;
Default
Beige
Black
Dark Brown
Grey
Ivory
Light Brown
White
The Head Box/Rail 
Colours for 
Roma Shades are;
N/A</t>
        </r>
      </text>
    </comment>
    <comment ref="M50" authorId="0" shapeId="0" xr:uid="{2E4D7F21-33B7-47B9-9ACB-CBB7BC9873C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0" authorId="0" shapeId="0" xr:uid="{2C7C21F1-C407-45F9-98BF-655FEFAA57F2}">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0" authorId="0" shapeId="0" xr:uid="{6EC2DD29-5CED-4058-BFCE-DB55430D74AE}">
      <text>
        <r>
          <rPr>
            <sz val="8"/>
            <color indexed="81"/>
            <rFont val="Tahoma"/>
            <family val="2"/>
          </rPr>
          <t>The Chain Length 
options are; 
Default
500mm
750mm
1000mm
1250mm
1500mm
2000mm
Motorised;
N/A</t>
        </r>
      </text>
    </comment>
    <comment ref="P50" authorId="0" shapeId="0" xr:uid="{6EF1E1A9-5319-498E-900D-9F9CD9EA8D83}">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0" authorId="0" shapeId="0" xr:uid="{64D034E0-9AE4-43D9-8820-72A1357C3C1E}">
      <text>
        <r>
          <rPr>
            <sz val="8"/>
            <color indexed="81"/>
            <rFont val="Tahoma"/>
            <family val="2"/>
          </rPr>
          <t>For Multi Shade and
Triple Shade,  
the  Fabric Insert  
options are;
Yes
For Roma Shade 
the  Fabric Insert  
options are;
N/A</t>
        </r>
      </text>
    </comment>
    <comment ref="R50" authorId="0" shapeId="0" xr:uid="{553814C5-0288-4E97-8740-DAAFC71B01CC}">
      <text>
        <r>
          <rPr>
            <sz val="8"/>
            <color indexed="81"/>
            <rFont val="Tahoma"/>
            <family val="2"/>
          </rPr>
          <t>For Multi Shade, 
the options are;
Standard
Over Roll
For Triple Shade, 
the options are;
Standard
For Roma Shade 
the  options are;
N/A</t>
        </r>
      </text>
    </comment>
    <comment ref="T50" authorId="0" shapeId="0" xr:uid="{00000000-0006-0000-0800-0000C0020000}">
      <text>
        <r>
          <rPr>
            <sz val="8"/>
            <color indexed="81"/>
            <rFont val="Tahoma"/>
            <family val="2"/>
          </rPr>
          <t>Please use this section 
to specify 
any Special Requirements
for the Line/Order.</t>
        </r>
      </text>
    </comment>
    <comment ref="D51" authorId="0" shapeId="0" xr:uid="{91ABF9FC-F64B-4749-9D28-A49E875F0159}">
      <text>
        <r>
          <rPr>
            <sz val="8"/>
            <color indexed="81"/>
            <rFont val="Tahoma"/>
            <family val="2"/>
          </rPr>
          <t>The Products options are;
Multi Shade
Roma Shade
Triple Shade</t>
        </r>
      </text>
    </comment>
    <comment ref="E51" authorId="0" shapeId="0" xr:uid="{93845F25-2BA5-4C44-82C4-419077353D85}">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1" authorId="0" shapeId="0" xr:uid="{332DFC91-2A63-4D34-BA9A-649DAF0D747B}">
      <text>
        <r>
          <rPr>
            <sz val="8"/>
            <color indexed="81"/>
            <rFont val="Tahoma"/>
            <family val="2"/>
          </rPr>
          <t>The Colour can only be selected 
once the Product Type &amp; Finish has 
been entered.
Please refer to the Swatches.</t>
        </r>
      </text>
    </comment>
    <comment ref="G51" authorId="0" shapeId="0" xr:uid="{E5E1135D-FF82-484A-9A35-94AC6A510C5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1" authorId="0" shapeId="0" xr:uid="{2845F020-6F6D-4A3B-8BFC-6F78C637625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1" authorId="0" shapeId="0" xr:uid="{CF5C2D58-7909-48DE-BB16-BBD03B452847}">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1" authorId="0" shapeId="0" xr:uid="{9F4FF109-14E4-4677-92F9-A630ECC2F0AA}">
      <text>
        <r>
          <rPr>
            <sz val="8"/>
            <color indexed="81"/>
            <rFont val="Tahoma"/>
            <family val="2"/>
          </rPr>
          <t>The Fitting options are;
Face Fit
Recess Fit</t>
        </r>
      </text>
    </comment>
    <comment ref="K51" authorId="0" shapeId="0" xr:uid="{BA5CF6E8-AAFE-4BC1-A83D-17CEDDE71202}">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1" authorId="0" shapeId="0" xr:uid="{2A3A1D34-A166-40E8-9BDD-BA4B87D2E41A}">
      <text>
        <r>
          <rPr>
            <sz val="8"/>
            <color indexed="81"/>
            <rFont val="Tahoma"/>
            <family val="2"/>
          </rPr>
          <t>The Head Box/Rail 
Colours for 
Multi Shades &amp; Triple Shades are;
Default
Beige
Black
Dark Brown
Grey
Ivory
Light Brown
White
The Head Box/Rail 
Colours for 
Roma Shades are;
N/A</t>
        </r>
      </text>
    </comment>
    <comment ref="M51" authorId="0" shapeId="0" xr:uid="{FEE06392-DC42-492B-B093-E9CA7167DD4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1" authorId="0" shapeId="0" xr:uid="{33673698-3F69-4E08-AB3A-3058BBC747E3}">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1" authorId="0" shapeId="0" xr:uid="{820F0CB8-8EF3-4788-BF3B-C03C657989E3}">
      <text>
        <r>
          <rPr>
            <sz val="8"/>
            <color indexed="81"/>
            <rFont val="Tahoma"/>
            <family val="2"/>
          </rPr>
          <t>The Chain Length 
options are; 
Default
500mm
750mm
1000mm
1250mm
1500mm
2000mm
Motorised;
N/A</t>
        </r>
      </text>
    </comment>
    <comment ref="P51" authorId="0" shapeId="0" xr:uid="{51FAD852-F41E-49A9-983C-59EA95C1A2F9}">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1" authorId="0" shapeId="0" xr:uid="{0EF31076-14BE-4E00-A203-D2BB4EB0F010}">
      <text>
        <r>
          <rPr>
            <sz val="8"/>
            <color indexed="81"/>
            <rFont val="Tahoma"/>
            <family val="2"/>
          </rPr>
          <t>For Multi Shade and
Triple Shade,  
the  Fabric Insert  
options are;
Yes
For Roma Shade 
the  Fabric Insert  
options are;
N/A</t>
        </r>
      </text>
    </comment>
    <comment ref="R51" authorId="0" shapeId="0" xr:uid="{9AAA94DD-F30F-4AD6-8D12-569A89E09A99}">
      <text>
        <r>
          <rPr>
            <sz val="8"/>
            <color indexed="81"/>
            <rFont val="Tahoma"/>
            <family val="2"/>
          </rPr>
          <t>For Multi Shade, 
the options are;
Standard
Over Roll
For Triple Shade, 
the options are;
Standard
For Roma Shade 
the  options are;
N/A</t>
        </r>
      </text>
    </comment>
    <comment ref="T51" authorId="0" shapeId="0" xr:uid="{00000000-0006-0000-0800-0000D0020000}">
      <text>
        <r>
          <rPr>
            <sz val="8"/>
            <color indexed="81"/>
            <rFont val="Tahoma"/>
            <family val="2"/>
          </rPr>
          <t>Please use this section 
to specify 
any Special Requirements
for the Line/Order.</t>
        </r>
      </text>
    </comment>
    <comment ref="D52" authorId="0" shapeId="0" xr:uid="{86DE2F09-C9BF-4283-BEA4-C358E38E026C}">
      <text>
        <r>
          <rPr>
            <sz val="8"/>
            <color indexed="81"/>
            <rFont val="Tahoma"/>
            <family val="2"/>
          </rPr>
          <t>The Products options are;
Multi Shade
Roma Shade
Triple Shade</t>
        </r>
      </text>
    </comment>
    <comment ref="E52" authorId="0" shapeId="0" xr:uid="{654034A9-45D0-48C6-AE71-784F65A54530}">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2" authorId="0" shapeId="0" xr:uid="{7A5370B3-6B5F-494D-88B2-03C79A9D47A6}">
      <text>
        <r>
          <rPr>
            <sz val="8"/>
            <color indexed="81"/>
            <rFont val="Tahoma"/>
            <family val="2"/>
          </rPr>
          <t>The Colour can only be selected 
once the Product Type &amp; Finish has 
been entered.
Please refer to the Swatches.</t>
        </r>
      </text>
    </comment>
    <comment ref="G52" authorId="0" shapeId="0" xr:uid="{73F7DD55-9CA3-42F2-97EF-4C5F31F8A38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2" authorId="0" shapeId="0" xr:uid="{D34B496B-E0A1-4A36-8B7C-CFC8EB81F01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2" authorId="0" shapeId="0" xr:uid="{568AE665-2B3F-46D2-BBCA-717A5692F746}">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2" authorId="0" shapeId="0" xr:uid="{1CE5DFAD-58A7-4261-BB99-1D695CE95E49}">
      <text>
        <r>
          <rPr>
            <sz val="8"/>
            <color indexed="81"/>
            <rFont val="Tahoma"/>
            <family val="2"/>
          </rPr>
          <t>The Fitting options are;
Face Fit
Recess Fit</t>
        </r>
      </text>
    </comment>
    <comment ref="K52" authorId="0" shapeId="0" xr:uid="{19D3C16C-04EA-406F-A74C-746038057C72}">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2" authorId="0" shapeId="0" xr:uid="{48A4F870-B34A-45E7-AC44-8A5567529E25}">
      <text>
        <r>
          <rPr>
            <sz val="8"/>
            <color indexed="81"/>
            <rFont val="Tahoma"/>
            <family val="2"/>
          </rPr>
          <t>The Head Box/Rail 
Colours for 
Multi Shades &amp; Triple Shades are;
Default
Beige
Black
Dark Brown
Grey
Ivory
Light Brown
White
The Head Box/Rail 
Colours for 
Roma Shades are;
N/A</t>
        </r>
      </text>
    </comment>
    <comment ref="M52" authorId="0" shapeId="0" xr:uid="{3773E8DE-3584-4C3B-93E2-4467CE1C6525}">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2" authorId="0" shapeId="0" xr:uid="{2CEBF2D6-EA61-4F0A-B733-086E93F0D2C7}">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2" authorId="0" shapeId="0" xr:uid="{31F76017-9C4E-405C-9795-8C69E2F9A7D0}">
      <text>
        <r>
          <rPr>
            <sz val="8"/>
            <color indexed="81"/>
            <rFont val="Tahoma"/>
            <family val="2"/>
          </rPr>
          <t>The Chain Length 
options are; 
Default
500mm
750mm
1000mm
1250mm
1500mm
2000mm
Motorised;
N/A</t>
        </r>
      </text>
    </comment>
    <comment ref="P52" authorId="0" shapeId="0" xr:uid="{C3DA499F-1E89-4ECB-9374-0DFE0B564B83}">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2" authorId="0" shapeId="0" xr:uid="{9D456739-F079-4CF2-B465-FF74C0D79E59}">
      <text>
        <r>
          <rPr>
            <sz val="8"/>
            <color indexed="81"/>
            <rFont val="Tahoma"/>
            <family val="2"/>
          </rPr>
          <t>For Multi Shade and
Triple Shade,  
the  Fabric Insert  
options are;
Yes
For Roma Shade 
the  Fabric Insert  
options are;
N/A</t>
        </r>
      </text>
    </comment>
    <comment ref="R52" authorId="0" shapeId="0" xr:uid="{67380219-4EAF-4530-B9BA-A0C24E897FC1}">
      <text>
        <r>
          <rPr>
            <sz val="8"/>
            <color indexed="81"/>
            <rFont val="Tahoma"/>
            <family val="2"/>
          </rPr>
          <t>For Multi Shade, 
the options are;
Standard
Over Roll
For Triple Shade, 
the options are;
Standard
For Roma Shade 
the  options are;
N/A</t>
        </r>
      </text>
    </comment>
    <comment ref="T52" authorId="0" shapeId="0" xr:uid="{00000000-0006-0000-0800-0000E0020000}">
      <text>
        <r>
          <rPr>
            <sz val="8"/>
            <color indexed="81"/>
            <rFont val="Tahoma"/>
            <family val="2"/>
          </rPr>
          <t>Please use this section 
to specify 
any Special Requirements
for the Line/Order.</t>
        </r>
      </text>
    </comment>
    <comment ref="D53" authorId="0" shapeId="0" xr:uid="{BE8E2673-235C-4A33-BE6C-5C9699EA637F}">
      <text>
        <r>
          <rPr>
            <sz val="8"/>
            <color indexed="81"/>
            <rFont val="Tahoma"/>
            <family val="2"/>
          </rPr>
          <t>The Products options are;
Multi Shade
Roma Shade
Triple Shade</t>
        </r>
      </text>
    </comment>
    <comment ref="E53" authorId="0" shapeId="0" xr:uid="{5B267FD6-9D26-426F-BEAC-7E326949CCC8}">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3" authorId="0" shapeId="0" xr:uid="{A575B008-305B-48A3-802D-933E755BE9D5}">
      <text>
        <r>
          <rPr>
            <sz val="8"/>
            <color indexed="81"/>
            <rFont val="Tahoma"/>
            <family val="2"/>
          </rPr>
          <t>The Colour can only be selected 
once the Product Type &amp; Finish has 
been entered.
Please refer to the Swatches.</t>
        </r>
      </text>
    </comment>
    <comment ref="G53" authorId="0" shapeId="0" xr:uid="{C3FB9B6F-FB7F-45D8-BB01-7383A6D9C38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3" authorId="0" shapeId="0" xr:uid="{B7753D3E-A7E7-4E23-929A-B510F7128F6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3" authorId="0" shapeId="0" xr:uid="{42C26C27-0144-4A56-B255-DEF0E813DFC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3" authorId="0" shapeId="0" xr:uid="{136FB449-396B-4F35-BC89-08216FBB5C8D}">
      <text>
        <r>
          <rPr>
            <sz val="8"/>
            <color indexed="81"/>
            <rFont val="Tahoma"/>
            <family val="2"/>
          </rPr>
          <t>The Fitting options are;
Face Fit
Recess Fit</t>
        </r>
      </text>
    </comment>
    <comment ref="K53" authorId="0" shapeId="0" xr:uid="{CED71018-4211-444B-8EF9-E3F98CB6F1D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3" authorId="0" shapeId="0" xr:uid="{00F321B6-A85D-4E7F-9803-57C89F56F268}">
      <text>
        <r>
          <rPr>
            <sz val="8"/>
            <color indexed="81"/>
            <rFont val="Tahoma"/>
            <family val="2"/>
          </rPr>
          <t>The Head Box/Rail 
Colours for 
Multi Shades &amp; Triple Shades are;
Default
Beige
Black
Dark Brown
Grey
Ivory
Light Brown
White
The Head Box/Rail 
Colours for 
Roma Shades are;
N/A</t>
        </r>
      </text>
    </comment>
    <comment ref="M53" authorId="0" shapeId="0" xr:uid="{95B0B649-4725-4A4E-81D1-E1C56BB7165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3" authorId="0" shapeId="0" xr:uid="{71EDEE86-3FA1-4A84-850C-798A1565F24C}">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3" authorId="0" shapeId="0" xr:uid="{66531797-9DA6-49D9-B4FC-FEED49BCF8CF}">
      <text>
        <r>
          <rPr>
            <sz val="8"/>
            <color indexed="81"/>
            <rFont val="Tahoma"/>
            <family val="2"/>
          </rPr>
          <t>The Chain Length 
options are; 
Default
500mm
750mm
1000mm
1250mm
1500mm
2000mm
Motorised;
N/A</t>
        </r>
      </text>
    </comment>
    <comment ref="P53" authorId="0" shapeId="0" xr:uid="{1C8EBE1D-6B66-4430-BF71-6968E890FC1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3" authorId="0" shapeId="0" xr:uid="{B72E63F3-9C98-4B4E-B1B5-24282D8A90AE}">
      <text>
        <r>
          <rPr>
            <sz val="8"/>
            <color indexed="81"/>
            <rFont val="Tahoma"/>
            <family val="2"/>
          </rPr>
          <t>For Multi Shade and
Triple Shade,  
the  Fabric Insert  
options are;
Yes
For Roma Shade 
the  Fabric Insert  
options are;
N/A</t>
        </r>
      </text>
    </comment>
    <comment ref="R53" authorId="0" shapeId="0" xr:uid="{070B39E8-9B5E-42ED-A41C-54A1EC7A4492}">
      <text>
        <r>
          <rPr>
            <sz val="8"/>
            <color indexed="81"/>
            <rFont val="Tahoma"/>
            <family val="2"/>
          </rPr>
          <t>For Multi Shade, 
the options are;
Standard
Over Roll
For Triple Shade, 
the options are;
Standard
For Roma Shade 
the  options are;
N/A</t>
        </r>
      </text>
    </comment>
    <comment ref="T53" authorId="0" shapeId="0" xr:uid="{00000000-0006-0000-0800-0000F0020000}">
      <text>
        <r>
          <rPr>
            <sz val="8"/>
            <color indexed="81"/>
            <rFont val="Tahoma"/>
            <family val="2"/>
          </rPr>
          <t>Please use this section 
to specify 
any Special Requirements
for the Line/Order.</t>
        </r>
      </text>
    </comment>
    <comment ref="D54" authorId="0" shapeId="0" xr:uid="{4BF1156B-6C96-4EBA-B581-FB0CAA655DF1}">
      <text>
        <r>
          <rPr>
            <sz val="8"/>
            <color indexed="81"/>
            <rFont val="Tahoma"/>
            <family val="2"/>
          </rPr>
          <t>The Products options are;
Multi Shade
Roma Shade
Triple Shade</t>
        </r>
      </text>
    </comment>
    <comment ref="E54" authorId="0" shapeId="0" xr:uid="{832BF9DF-7946-4202-BC29-746FE825A457}">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4" authorId="0" shapeId="0" xr:uid="{D65B9FD6-DCD2-4C48-8FA9-8B87982879AD}">
      <text>
        <r>
          <rPr>
            <sz val="8"/>
            <color indexed="81"/>
            <rFont val="Tahoma"/>
            <family val="2"/>
          </rPr>
          <t>The Colour can only be selected 
once the Product Type &amp; Finish has 
been entered.
Please refer to the Swatches.</t>
        </r>
      </text>
    </comment>
    <comment ref="G54" authorId="0" shapeId="0" xr:uid="{1F3D494C-48B1-4F5F-9B54-3C7888B8899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4" authorId="0" shapeId="0" xr:uid="{C8B73E56-3551-4CEA-A86A-5C9A635AB597}">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4" authorId="0" shapeId="0" xr:uid="{A14C5584-8887-4DA8-980D-7F660ECF1280}">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4" authorId="0" shapeId="0" xr:uid="{A1E76F5A-02EC-4F69-B33B-DA0B83CD2FAB}">
      <text>
        <r>
          <rPr>
            <sz val="8"/>
            <color indexed="81"/>
            <rFont val="Tahoma"/>
            <family val="2"/>
          </rPr>
          <t>The Fitting options are;
Face Fit
Recess Fit</t>
        </r>
      </text>
    </comment>
    <comment ref="K54" authorId="0" shapeId="0" xr:uid="{B299602C-1C6B-4D2D-91B3-0E6DAB05554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4" authorId="0" shapeId="0" xr:uid="{7B313BB0-C47B-4329-A54C-F796AFDE25AC}">
      <text>
        <r>
          <rPr>
            <sz val="8"/>
            <color indexed="81"/>
            <rFont val="Tahoma"/>
            <family val="2"/>
          </rPr>
          <t>The Head Box/Rail 
Colours for 
Multi Shades &amp; Triple Shades are;
Default
Beige
Black
Dark Brown
Grey
Ivory
Light Brown
White
The Head Box/Rail 
Colours for 
Roma Shades are;
N/A</t>
        </r>
      </text>
    </comment>
    <comment ref="M54" authorId="0" shapeId="0" xr:uid="{6560FA3F-1FA6-46F3-8A88-F0685FC188E1}">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4" authorId="0" shapeId="0" xr:uid="{0D6B42C3-0700-48A1-815D-89CA0634CA4B}">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4" authorId="0" shapeId="0" xr:uid="{0CDBD35A-CB8E-4C69-BBF5-F2897C2861AD}">
      <text>
        <r>
          <rPr>
            <sz val="8"/>
            <color indexed="81"/>
            <rFont val="Tahoma"/>
            <family val="2"/>
          </rPr>
          <t>The Chain Length 
options are; 
Default
500mm
750mm
1000mm
1250mm
1500mm
2000mm
Motorised;
N/A</t>
        </r>
      </text>
    </comment>
    <comment ref="P54" authorId="0" shapeId="0" xr:uid="{DB6D4BDC-AB2D-4952-B678-13804ABAC55E}">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4" authorId="0" shapeId="0" xr:uid="{3493AC9A-CB20-485D-8099-C186E7967982}">
      <text>
        <r>
          <rPr>
            <sz val="8"/>
            <color indexed="81"/>
            <rFont val="Tahoma"/>
            <family val="2"/>
          </rPr>
          <t>For Multi Shade and
Triple Shade,  
the  Fabric Insert  
options are;
Yes
For Roma Shade 
the  Fabric Insert  
options are;
N/A</t>
        </r>
      </text>
    </comment>
    <comment ref="R54" authorId="0" shapeId="0" xr:uid="{7A674FAF-5B86-4E63-B28A-D7F1FFF716ED}">
      <text>
        <r>
          <rPr>
            <sz val="8"/>
            <color indexed="81"/>
            <rFont val="Tahoma"/>
            <family val="2"/>
          </rPr>
          <t>For Multi Shade, 
the options are;
Standard
Over Roll
For Triple Shade, 
the options are;
Standard
For Roma Shade 
the  options are;
N/A</t>
        </r>
      </text>
    </comment>
    <comment ref="T54" authorId="0" shapeId="0" xr:uid="{00000000-0006-0000-0800-000000030000}">
      <text>
        <r>
          <rPr>
            <sz val="8"/>
            <color indexed="81"/>
            <rFont val="Tahoma"/>
            <family val="2"/>
          </rPr>
          <t>Please use this section 
to specify 
any Special Requirements
for the Line/Order.</t>
        </r>
      </text>
    </comment>
    <comment ref="D55" authorId="0" shapeId="0" xr:uid="{ED6ADCBD-A778-432A-9E99-1ABC7A3DD339}">
      <text>
        <r>
          <rPr>
            <sz val="8"/>
            <color indexed="81"/>
            <rFont val="Tahoma"/>
            <family val="2"/>
          </rPr>
          <t>The Products options are;
Multi Shade
Roma Shade
Triple Shade</t>
        </r>
      </text>
    </comment>
    <comment ref="E55" authorId="0" shapeId="0" xr:uid="{18E5CCA2-7DE9-495B-B0D0-25161D5FDB55}">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5" authorId="0" shapeId="0" xr:uid="{90D55889-F459-4F9A-B594-CFA04E5FD429}">
      <text>
        <r>
          <rPr>
            <sz val="8"/>
            <color indexed="81"/>
            <rFont val="Tahoma"/>
            <family val="2"/>
          </rPr>
          <t>The Colour can only be selected 
once the Product Type &amp; Finish has 
been entered.
Please refer to the Swatches.</t>
        </r>
      </text>
    </comment>
    <comment ref="G55" authorId="0" shapeId="0" xr:uid="{1F7CD755-C442-4ECA-8FFF-0CDE0F944BF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5" authorId="0" shapeId="0" xr:uid="{CEEE222C-4D71-46C8-8076-B4DBD67CB663}">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5" authorId="0" shapeId="0" xr:uid="{D731D7EA-310C-4D95-B46C-A3E3A6A2FBEB}">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5" authorId="0" shapeId="0" xr:uid="{03A4F285-D64B-4F92-BCDD-722F16A8AAD0}">
      <text>
        <r>
          <rPr>
            <sz val="8"/>
            <color indexed="81"/>
            <rFont val="Tahoma"/>
            <family val="2"/>
          </rPr>
          <t>The Fitting options are;
Face Fit
Recess Fit</t>
        </r>
      </text>
    </comment>
    <comment ref="K55" authorId="0" shapeId="0" xr:uid="{DED03E0A-B947-4DEC-BA7F-3C7E0319EEA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5" authorId="0" shapeId="0" xr:uid="{028A172F-5997-45FE-8B0E-1DA423A6FC46}">
      <text>
        <r>
          <rPr>
            <sz val="8"/>
            <color indexed="81"/>
            <rFont val="Tahoma"/>
            <family val="2"/>
          </rPr>
          <t>The Head Box/Rail 
Colours for 
Multi Shades &amp; Triple Shades are;
Default
Beige
Black
Dark Brown
Grey
Ivory
Light Brown
White
The Head Box/Rail 
Colours for 
Roma Shades are;
N/A</t>
        </r>
      </text>
    </comment>
    <comment ref="M55" authorId="0" shapeId="0" xr:uid="{5DB323F3-7913-4D06-854D-5DAA1C78716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5" authorId="0" shapeId="0" xr:uid="{C6DF7A28-EF23-4A12-A797-27B707C78E92}">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5" authorId="0" shapeId="0" xr:uid="{E6FDCB2E-0941-4520-84E3-C73D701552CA}">
      <text>
        <r>
          <rPr>
            <sz val="8"/>
            <color indexed="81"/>
            <rFont val="Tahoma"/>
            <family val="2"/>
          </rPr>
          <t>The Chain Length 
options are; 
Default
500mm
750mm
1000mm
1250mm
1500mm
2000mm
Motorised;
N/A</t>
        </r>
      </text>
    </comment>
    <comment ref="P55" authorId="0" shapeId="0" xr:uid="{03724A43-D8FF-4084-B584-C096EE49589D}">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5" authorId="0" shapeId="0" xr:uid="{4513F87A-2906-4773-8AA9-33FED4726632}">
      <text>
        <r>
          <rPr>
            <sz val="8"/>
            <color indexed="81"/>
            <rFont val="Tahoma"/>
            <family val="2"/>
          </rPr>
          <t>For Multi Shade and
Triple Shade,  
the  Fabric Insert  
options are;
Yes
For Roma Shade 
the  Fabric Insert  
options are;
N/A</t>
        </r>
      </text>
    </comment>
    <comment ref="R55" authorId="0" shapeId="0" xr:uid="{CA3100E4-025A-498B-AA54-0FA66902DB66}">
      <text>
        <r>
          <rPr>
            <sz val="8"/>
            <color indexed="81"/>
            <rFont val="Tahoma"/>
            <family val="2"/>
          </rPr>
          <t>For Multi Shade, 
the options are;
Standard
Over Roll
For Triple Shade, 
the options are;
Standard
For Roma Shade 
the  options are;
N/A</t>
        </r>
      </text>
    </comment>
    <comment ref="T55" authorId="0" shapeId="0" xr:uid="{00000000-0006-0000-0800-000010030000}">
      <text>
        <r>
          <rPr>
            <sz val="8"/>
            <color indexed="81"/>
            <rFont val="Tahoma"/>
            <family val="2"/>
          </rPr>
          <t>Please use this section 
to specify 
any Special Requirements
for the Line/Order.</t>
        </r>
      </text>
    </comment>
    <comment ref="D56" authorId="0" shapeId="0" xr:uid="{398206FA-9973-48F8-AC5A-2817EF71B3F1}">
      <text>
        <r>
          <rPr>
            <sz val="8"/>
            <color indexed="81"/>
            <rFont val="Tahoma"/>
            <family val="2"/>
          </rPr>
          <t>The Products options are;
Multi Shade
Roma Shade
Triple Shade</t>
        </r>
      </text>
    </comment>
    <comment ref="E56" authorId="0" shapeId="0" xr:uid="{FCE44C11-8A5A-42D1-A270-3941F91CEBBF}">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6" authorId="0" shapeId="0" xr:uid="{9707CF25-A4ED-49B8-9E99-AEEC6EE3929D}">
      <text>
        <r>
          <rPr>
            <sz val="8"/>
            <color indexed="81"/>
            <rFont val="Tahoma"/>
            <family val="2"/>
          </rPr>
          <t>The Colour can only be selected 
once the Product Type &amp; Finish has 
been entered.
Please refer to the Swatches.</t>
        </r>
      </text>
    </comment>
    <comment ref="G56" authorId="0" shapeId="0" xr:uid="{32E61A0A-0C91-4A0C-A2E3-5FF3449C5473}">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6" authorId="0" shapeId="0" xr:uid="{3A7B16B9-A344-4DE8-8E95-3DD14C484FBA}">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6" authorId="0" shapeId="0" xr:uid="{DC82D7E2-FA13-489A-9427-CB9D5A7A8D4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6" authorId="0" shapeId="0" xr:uid="{F506917E-4D78-49D4-8056-8632B8352F31}">
      <text>
        <r>
          <rPr>
            <sz val="8"/>
            <color indexed="81"/>
            <rFont val="Tahoma"/>
            <family val="2"/>
          </rPr>
          <t>The Fitting options are;
Face Fit
Recess Fit</t>
        </r>
      </text>
    </comment>
    <comment ref="K56" authorId="0" shapeId="0" xr:uid="{00B9874F-4DA3-43A3-9DC2-C118A8A7A56F}">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6" authorId="0" shapeId="0" xr:uid="{B3C7A0D4-2271-4B29-98B8-6343DF54CD63}">
      <text>
        <r>
          <rPr>
            <sz val="8"/>
            <color indexed="81"/>
            <rFont val="Tahoma"/>
            <family val="2"/>
          </rPr>
          <t>The Head Box/Rail 
Colours for 
Multi Shades &amp; Triple Shades are;
Default
Beige
Black
Dark Brown
Grey
Ivory
Light Brown
White
The Head Box/Rail 
Colours for 
Roma Shades are;
N/A</t>
        </r>
      </text>
    </comment>
    <comment ref="M56" authorId="0" shapeId="0" xr:uid="{311C3DD2-9ED6-4B25-9014-35F3B4BB07FE}">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6" authorId="0" shapeId="0" xr:uid="{8CB2AD9A-1482-4D31-9698-5D2DC6D58BBC}">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6" authorId="0" shapeId="0" xr:uid="{2C063EF0-6623-4C53-8E86-860495F493C0}">
      <text>
        <r>
          <rPr>
            <sz val="8"/>
            <color indexed="81"/>
            <rFont val="Tahoma"/>
            <family val="2"/>
          </rPr>
          <t>The Chain Length 
options are; 
Default
500mm
750mm
1000mm
1250mm
1500mm
2000mm
Motorised;
N/A</t>
        </r>
      </text>
    </comment>
    <comment ref="P56" authorId="0" shapeId="0" xr:uid="{70EB50FE-F04C-400B-AA17-7F62A6222A9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6" authorId="0" shapeId="0" xr:uid="{7536DE08-371D-44F2-8D54-560D1C8455F0}">
      <text>
        <r>
          <rPr>
            <sz val="8"/>
            <color indexed="81"/>
            <rFont val="Tahoma"/>
            <family val="2"/>
          </rPr>
          <t>For Multi Shade and
Triple Shade,  
the  Fabric Insert  
options are;
Yes
For Roma Shade 
the  Fabric Insert  
options are;
N/A</t>
        </r>
      </text>
    </comment>
    <comment ref="R56" authorId="0" shapeId="0" xr:uid="{64154C73-229F-4491-951D-36DC8B6F7E42}">
      <text>
        <r>
          <rPr>
            <sz val="8"/>
            <color indexed="81"/>
            <rFont val="Tahoma"/>
            <family val="2"/>
          </rPr>
          <t>For Multi Shade, 
the options are;
Standard
Over Roll
For Triple Shade, 
the options are;
Standard
For Roma Shade 
the  options are;
N/A</t>
        </r>
      </text>
    </comment>
    <comment ref="T56" authorId="0" shapeId="0" xr:uid="{00000000-0006-0000-0800-000020030000}">
      <text>
        <r>
          <rPr>
            <sz val="8"/>
            <color indexed="81"/>
            <rFont val="Tahoma"/>
            <family val="2"/>
          </rPr>
          <t>Please use this section 
to specify 
any Special Requirements
for the Line/Order.</t>
        </r>
      </text>
    </comment>
    <comment ref="D57" authorId="0" shapeId="0" xr:uid="{B119B772-30A7-4F89-AD04-9D4A7F6A3C1E}">
      <text>
        <r>
          <rPr>
            <sz val="8"/>
            <color indexed="81"/>
            <rFont val="Tahoma"/>
            <family val="2"/>
          </rPr>
          <t>The Products options are;
Multi Shade
Roma Shade
Triple Shade</t>
        </r>
      </text>
    </comment>
    <comment ref="E57" authorId="0" shapeId="0" xr:uid="{35C24831-4626-4499-9CDA-8713AA36F94C}">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7" authorId="0" shapeId="0" xr:uid="{0825D685-AEAD-4F2E-93F9-3134127796DC}">
      <text>
        <r>
          <rPr>
            <sz val="8"/>
            <color indexed="81"/>
            <rFont val="Tahoma"/>
            <family val="2"/>
          </rPr>
          <t>The Colour can only be selected 
once the Product Type &amp; Finish has 
been entered.
Please refer to the Swatches.</t>
        </r>
      </text>
    </comment>
    <comment ref="G57" authorId="0" shapeId="0" xr:uid="{D2DEEF03-BFE9-413E-934B-B4BA3697195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7" authorId="0" shapeId="0" xr:uid="{741B1CF8-7586-4BAB-A6FF-97AF212B302F}">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7" authorId="0" shapeId="0" xr:uid="{636C3A2D-78DA-48B9-B155-CD665A515F89}">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7" authorId="0" shapeId="0" xr:uid="{0A1A200D-311D-49DA-8EFC-FEC5DEEE1363}">
      <text>
        <r>
          <rPr>
            <sz val="8"/>
            <color indexed="81"/>
            <rFont val="Tahoma"/>
            <family val="2"/>
          </rPr>
          <t>The Fitting options are;
Face Fit
Recess Fit</t>
        </r>
      </text>
    </comment>
    <comment ref="K57" authorId="0" shapeId="0" xr:uid="{839ABF6B-C6D8-42FF-9493-4C8603C3564F}">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7" authorId="0" shapeId="0" xr:uid="{11ED10AD-83DB-426C-ABFE-9809D91C1249}">
      <text>
        <r>
          <rPr>
            <sz val="8"/>
            <color indexed="81"/>
            <rFont val="Tahoma"/>
            <family val="2"/>
          </rPr>
          <t>The Head Box/Rail 
Colours for 
Multi Shades &amp; Triple Shades are;
Default
Beige
Black
Dark Brown
Grey
Ivory
Light Brown
White
The Head Box/Rail 
Colours for 
Roma Shades are;
N/A</t>
        </r>
      </text>
    </comment>
    <comment ref="M57" authorId="0" shapeId="0" xr:uid="{362EB39F-33F2-4DF0-8E71-A6C4BC90FC96}">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7" authorId="0" shapeId="0" xr:uid="{C73D509D-D57F-47E1-BCBF-8A36B03D5B44}">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7" authorId="0" shapeId="0" xr:uid="{3F631D6B-1BBB-4538-B92E-9241BF8950E4}">
      <text>
        <r>
          <rPr>
            <sz val="8"/>
            <color indexed="81"/>
            <rFont val="Tahoma"/>
            <family val="2"/>
          </rPr>
          <t>The Chain Length 
options are; 
Default
500mm
750mm
1000mm
1250mm
1500mm
2000mm
Motorised;
N/A</t>
        </r>
      </text>
    </comment>
    <comment ref="P57" authorId="0" shapeId="0" xr:uid="{68CB9FAB-730D-40FC-93C9-29D98D340B6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7" authorId="0" shapeId="0" xr:uid="{AE6A0DD2-578F-43DB-91DD-FFCC7CDF346A}">
      <text>
        <r>
          <rPr>
            <sz val="8"/>
            <color indexed="81"/>
            <rFont val="Tahoma"/>
            <family val="2"/>
          </rPr>
          <t>For Multi Shade and
Triple Shade,  
the  Fabric Insert  
options are;
Yes
For Roma Shade 
the  Fabric Insert  
options are;
N/A</t>
        </r>
      </text>
    </comment>
    <comment ref="R57" authorId="0" shapeId="0" xr:uid="{694CFF1A-4428-4950-A922-45A1B5A4E335}">
      <text>
        <r>
          <rPr>
            <sz val="8"/>
            <color indexed="81"/>
            <rFont val="Tahoma"/>
            <family val="2"/>
          </rPr>
          <t>For Multi Shade, 
the options are;
Standard
Over Roll
For Triple Shade, 
the options are;
Standard
For Roma Shade 
the  options are;
N/A</t>
        </r>
      </text>
    </comment>
    <comment ref="T57" authorId="0" shapeId="0" xr:uid="{00000000-0006-0000-0800-000030030000}">
      <text>
        <r>
          <rPr>
            <sz val="8"/>
            <color indexed="81"/>
            <rFont val="Tahoma"/>
            <family val="2"/>
          </rPr>
          <t>Please use this section 
to specify 
any Special Requirements
for the Line/Order.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AD1" authorId="0" shapeId="0" xr:uid="{00000000-0006-0000-0900-000001000000}">
      <text>
        <r>
          <rPr>
            <sz val="9"/>
            <color indexed="81"/>
            <rFont val="Tahoma"/>
            <family val="2"/>
          </rPr>
          <t>Please enter the number 
of Pages in this Order.
e.g.  Page: 1 Of 2</t>
        </r>
      </text>
    </comment>
    <comment ref="C8" authorId="0" shapeId="0" xr:uid="{00000000-0006-0000-0900-000002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8" authorId="0" shapeId="0" xr:uid="{00000000-0006-0000-0900-000003000000}">
      <text>
        <r>
          <rPr>
            <sz val="8"/>
            <color indexed="81"/>
            <rFont val="Tahoma"/>
            <family val="2"/>
          </rPr>
          <t>Minimum Height is 350mm.
Maximum Fauxwood Height is 2600mm.
Maximum Timber Height is 3000mm.</t>
        </r>
      </text>
    </comment>
    <comment ref="E8" authorId="0" shapeId="0" xr:uid="{00000000-0006-0000-0900-000004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8" authorId="0" shapeId="0" xr:uid="{00000000-0006-0000-0900-000005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8" authorId="0" shapeId="0" xr:uid="{00000000-0006-0000-0900-000006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8" authorId="0" shapeId="0" xr:uid="{00000000-0006-0000-0900-000007000000}">
      <text>
        <r>
          <rPr>
            <sz val="8"/>
            <color indexed="81"/>
            <rFont val="Tahoma"/>
            <family val="2"/>
          </rPr>
          <t>Colour can only be selected once the 
Material &amp; Product type has been selected.</t>
        </r>
      </text>
    </comment>
    <comment ref="J8" authorId="0" shapeId="0" xr:uid="{00000000-0006-0000-0900-000008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8" authorId="0" shapeId="0" xr:uid="{00000000-0006-0000-0900-000009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8" authorId="0" shapeId="0" xr:uid="{00000000-0006-0000-0900-00000A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8" authorId="0" shapeId="0" xr:uid="{00000000-0006-0000-0900-00000B000000}">
      <text>
        <r>
          <rPr>
            <sz val="8"/>
            <color indexed="81"/>
            <rFont val="Tahoma"/>
            <family val="2"/>
          </rPr>
          <t>The Window Type 
options are;
Standard
Bay Window
Corner Window
Door Cut Out
French Door
Shaped Arch
Shaped Hexagon
Shaped Octagon
Shaped Round
Shaped Sunburst
Shaped Triangle</t>
        </r>
      </text>
    </comment>
    <comment ref="N8" authorId="0" shapeId="0" xr:uid="{00000000-0006-0000-0900-00000C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8" authorId="0" shapeId="0" xr:uid="{00000000-0006-0000-0900-00000D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8" authorId="0" shapeId="0" xr:uid="{00000000-0006-0000-0900-00000E000000}">
      <text>
        <r>
          <rPr>
            <sz val="8"/>
            <color indexed="81"/>
            <rFont val="Tahoma"/>
            <family val="2"/>
          </rPr>
          <t>Frame Type is dependent on
 Mounting Method.</t>
        </r>
      </text>
    </comment>
    <comment ref="V8" authorId="0" shapeId="0" xr:uid="{00000000-0006-0000-0900-00000F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8" authorId="0" shapeId="0" xr:uid="{00000000-0006-0000-0900-000010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8" authorId="0" shapeId="0" xr:uid="{00000000-0006-0000-0900-000011000000}">
      <text>
        <r>
          <rPr>
            <sz val="8"/>
            <color indexed="81"/>
            <rFont val="Tahoma"/>
            <family val="2"/>
          </rPr>
          <t>Please Note: 
If Closed option is chosen then the blades 
can be damaged if they are left open 
when Sliding the Panel.</t>
        </r>
      </text>
    </comment>
    <comment ref="Y8" authorId="0" shapeId="0" xr:uid="{00000000-0006-0000-0900-000012000000}">
      <text>
        <r>
          <rPr>
            <sz val="8"/>
            <color indexed="81"/>
            <rFont val="Tahoma"/>
            <family val="2"/>
          </rPr>
          <t>If any T Posts are required then the measurements 
must be supplied under the next columns.
Measurements should be made from the left.</t>
        </r>
      </text>
    </comment>
    <comment ref="AC8" authorId="0" shapeId="0" xr:uid="{00000000-0006-0000-0900-000013000000}">
      <text>
        <r>
          <rPr>
            <sz val="8"/>
            <color indexed="81"/>
            <rFont val="Tahoma"/>
            <family val="2"/>
          </rPr>
          <t>If this field is left empty 
then 
No Fluffy Strip 
will be supplied.</t>
        </r>
      </text>
    </comment>
    <comment ref="AU8" authorId="0" shapeId="0" xr:uid="{00000000-0006-0000-0900-000014000000}">
      <text>
        <r>
          <rPr>
            <sz val="8"/>
            <color indexed="81"/>
            <rFont val="Tahoma"/>
            <family val="2"/>
          </rPr>
          <t>The Hinge Quantity is 
calculated automatically.</t>
        </r>
      </text>
    </comment>
    <comment ref="BI8" authorId="0" shapeId="0" xr:uid="{00000000-0006-0000-0900-000015000000}">
      <text>
        <r>
          <rPr>
            <sz val="8"/>
            <color indexed="81"/>
            <rFont val="Tahoma"/>
            <family val="2"/>
          </rPr>
          <t>Please Note: 
If Closed option is chosen then the blades can be damaged if they are left open 
when sliding the Panel.</t>
        </r>
      </text>
    </comment>
    <comment ref="C9" authorId="0" shapeId="0" xr:uid="{00000000-0006-0000-0900-000016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9" authorId="0" shapeId="0" xr:uid="{00000000-0006-0000-0900-000017000000}">
      <text>
        <r>
          <rPr>
            <sz val="8"/>
            <color indexed="81"/>
            <rFont val="Tahoma"/>
            <family val="2"/>
          </rPr>
          <t>Minimum Height is 350mm.
Maximum Fauxwood Height is 2600mm.
Maximum Timber Height is 3000mm.</t>
        </r>
      </text>
    </comment>
    <comment ref="E9" authorId="0" shapeId="0" xr:uid="{00000000-0006-0000-0900-000018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9" authorId="0" shapeId="0" xr:uid="{00000000-0006-0000-0900-000019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9" authorId="0" shapeId="0" xr:uid="{00000000-0006-0000-0900-00001A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9" authorId="0" shapeId="0" xr:uid="{00000000-0006-0000-0900-00001B000000}">
      <text>
        <r>
          <rPr>
            <sz val="8"/>
            <color indexed="81"/>
            <rFont val="Tahoma"/>
            <family val="2"/>
          </rPr>
          <t>Colour can only be selected once the 
Material &amp; Product type has been selected.</t>
        </r>
      </text>
    </comment>
    <comment ref="J9" authorId="0" shapeId="0" xr:uid="{00000000-0006-0000-0900-00001C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9" authorId="0" shapeId="0" xr:uid="{00000000-0006-0000-0900-00001D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9" authorId="0" shapeId="0" xr:uid="{00000000-0006-0000-0900-00001E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9" authorId="0" shapeId="0" xr:uid="{00000000-0006-0000-0900-00001F000000}">
      <text>
        <r>
          <rPr>
            <sz val="8"/>
            <color indexed="81"/>
            <rFont val="Tahoma"/>
            <family val="2"/>
          </rPr>
          <t>The Window Type 
options are;
Standard
Bay Window
Corner Window
Door Cut Out
French Door
Shaped Arch
Shaped Hexagon
Shaped Octagon
Shaped Round
Shaped Sunburst
Shaped Triangle</t>
        </r>
      </text>
    </comment>
    <comment ref="N9" authorId="0" shapeId="0" xr:uid="{00000000-0006-0000-0900-000020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9" authorId="0" shapeId="0" xr:uid="{00000000-0006-0000-0900-000021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9" authorId="0" shapeId="0" xr:uid="{00000000-0006-0000-0900-000022000000}">
      <text>
        <r>
          <rPr>
            <sz val="8"/>
            <color indexed="81"/>
            <rFont val="Tahoma"/>
            <family val="2"/>
          </rPr>
          <t>Frame Type is dependent on
 Mounting Method.</t>
        </r>
      </text>
    </comment>
    <comment ref="V9" authorId="0" shapeId="0" xr:uid="{00000000-0006-0000-0900-000023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9" authorId="0" shapeId="0" xr:uid="{00000000-0006-0000-0900-000024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9" authorId="0" shapeId="0" xr:uid="{00000000-0006-0000-0900-000025000000}">
      <text>
        <r>
          <rPr>
            <sz val="8"/>
            <color indexed="81"/>
            <rFont val="Tahoma"/>
            <family val="2"/>
          </rPr>
          <t>Please Note: 
If Closed option is chosen then the blades 
can be damaged if they are left open 
when Sliding the Panel.</t>
        </r>
      </text>
    </comment>
    <comment ref="Y9" authorId="0" shapeId="0" xr:uid="{00000000-0006-0000-0900-000026000000}">
      <text>
        <r>
          <rPr>
            <sz val="8"/>
            <color indexed="81"/>
            <rFont val="Tahoma"/>
            <family val="2"/>
          </rPr>
          <t>If any T Posts are required then the measurements 
must be supplied under the next columns.
Measurements should be made from the left.</t>
        </r>
      </text>
    </comment>
    <comment ref="AC9" authorId="0" shapeId="0" xr:uid="{00000000-0006-0000-0900-000027000000}">
      <text>
        <r>
          <rPr>
            <sz val="8"/>
            <color indexed="81"/>
            <rFont val="Tahoma"/>
            <family val="2"/>
          </rPr>
          <t>If this field is left empty 
then 
No Fluffy Strip 
will be supplied.</t>
        </r>
      </text>
    </comment>
    <comment ref="C10" authorId="0" shapeId="0" xr:uid="{00000000-0006-0000-0900-000028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0" authorId="0" shapeId="0" xr:uid="{00000000-0006-0000-0900-000029000000}">
      <text>
        <r>
          <rPr>
            <sz val="8"/>
            <color indexed="81"/>
            <rFont val="Tahoma"/>
            <family val="2"/>
          </rPr>
          <t>Minimum Height is 350mm.
Maximum Fauxwood Height is 2600mm.
Maximum Timber Height is 3000mm.</t>
        </r>
      </text>
    </comment>
    <comment ref="E10" authorId="0" shapeId="0" xr:uid="{00000000-0006-0000-0900-00002A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0" authorId="0" shapeId="0" xr:uid="{00000000-0006-0000-0900-00002B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0" authorId="0" shapeId="0" xr:uid="{00000000-0006-0000-0900-00002C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0" authorId="0" shapeId="0" xr:uid="{00000000-0006-0000-0900-00002D000000}">
      <text>
        <r>
          <rPr>
            <sz val="8"/>
            <color indexed="81"/>
            <rFont val="Tahoma"/>
            <family val="2"/>
          </rPr>
          <t>Colour can only be selected once the 
Material &amp; Product type has been selected.</t>
        </r>
      </text>
    </comment>
    <comment ref="J10" authorId="0" shapeId="0" xr:uid="{00000000-0006-0000-0900-00002E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0" authorId="0" shapeId="0" xr:uid="{00000000-0006-0000-0900-00002F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0" authorId="0" shapeId="0" xr:uid="{00000000-0006-0000-0900-000030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0" authorId="0" shapeId="0" xr:uid="{00000000-0006-0000-0900-000031000000}">
      <text>
        <r>
          <rPr>
            <sz val="8"/>
            <color indexed="81"/>
            <rFont val="Tahoma"/>
            <family val="2"/>
          </rPr>
          <t>The Window Type 
options are;
Standard
Bay Window
Corner Window
Door Cut Out
French Door
Shaped Arch
Shaped Hexagon
Shaped Octagon
Shaped Round
Shaped Sunburst
Shaped Triangle</t>
        </r>
      </text>
    </comment>
    <comment ref="N10" authorId="0" shapeId="0" xr:uid="{00000000-0006-0000-0900-000032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0" authorId="0" shapeId="0" xr:uid="{00000000-0006-0000-0900-000033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0" authorId="0" shapeId="0" xr:uid="{00000000-0006-0000-0900-000034000000}">
      <text>
        <r>
          <rPr>
            <sz val="8"/>
            <color indexed="81"/>
            <rFont val="Tahoma"/>
            <family val="2"/>
          </rPr>
          <t>Frame Type is dependent on
 Mounting Method.</t>
        </r>
      </text>
    </comment>
    <comment ref="V10" authorId="0" shapeId="0" xr:uid="{00000000-0006-0000-0900-000035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0" authorId="0" shapeId="0" xr:uid="{00000000-0006-0000-0900-000036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0" authorId="0" shapeId="0" xr:uid="{00000000-0006-0000-0900-000037000000}">
      <text>
        <r>
          <rPr>
            <sz val="8"/>
            <color indexed="81"/>
            <rFont val="Tahoma"/>
            <family val="2"/>
          </rPr>
          <t>Please Note: 
If Closed option is chosen then the blades 
can be damaged if they are left open 
when Sliding the Panel.</t>
        </r>
      </text>
    </comment>
    <comment ref="Y10" authorId="0" shapeId="0" xr:uid="{00000000-0006-0000-0900-000038000000}">
      <text>
        <r>
          <rPr>
            <sz val="8"/>
            <color indexed="81"/>
            <rFont val="Tahoma"/>
            <family val="2"/>
          </rPr>
          <t>If any T Posts are required then the measurements 
must be supplied under the next columns.
Measurements should be made from the left.</t>
        </r>
      </text>
    </comment>
    <comment ref="AC10" authorId="0" shapeId="0" xr:uid="{00000000-0006-0000-0900-000039000000}">
      <text>
        <r>
          <rPr>
            <sz val="8"/>
            <color indexed="81"/>
            <rFont val="Tahoma"/>
            <family val="2"/>
          </rPr>
          <t>If this field is left empty 
then 
No Fluffy Strip 
will be supplied.</t>
        </r>
      </text>
    </comment>
    <comment ref="C11" authorId="0" shapeId="0" xr:uid="{00000000-0006-0000-0900-00003A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1" authorId="0" shapeId="0" xr:uid="{00000000-0006-0000-0900-00003B000000}">
      <text>
        <r>
          <rPr>
            <sz val="8"/>
            <color indexed="81"/>
            <rFont val="Tahoma"/>
            <family val="2"/>
          </rPr>
          <t>Minimum Height is 350mm.
Maximum Fauxwood Height is 2600mm.
Maximum Timber Height is 3000mm.</t>
        </r>
      </text>
    </comment>
    <comment ref="E11" authorId="0" shapeId="0" xr:uid="{00000000-0006-0000-0900-00003C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1" authorId="0" shapeId="0" xr:uid="{00000000-0006-0000-0900-00003D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1" authorId="0" shapeId="0" xr:uid="{00000000-0006-0000-0900-00003E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1" authorId="0" shapeId="0" xr:uid="{00000000-0006-0000-0900-00003F000000}">
      <text>
        <r>
          <rPr>
            <sz val="8"/>
            <color indexed="81"/>
            <rFont val="Tahoma"/>
            <family val="2"/>
          </rPr>
          <t>Colour can only be selected once the 
Material &amp; Product type has been selected.</t>
        </r>
      </text>
    </comment>
    <comment ref="J11" authorId="0" shapeId="0" xr:uid="{00000000-0006-0000-0900-000040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1" authorId="0" shapeId="0" xr:uid="{00000000-0006-0000-0900-000041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1" authorId="0" shapeId="0" xr:uid="{00000000-0006-0000-0900-000042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1" authorId="0" shapeId="0" xr:uid="{00000000-0006-0000-0900-000043000000}">
      <text>
        <r>
          <rPr>
            <sz val="8"/>
            <color indexed="81"/>
            <rFont val="Tahoma"/>
            <family val="2"/>
          </rPr>
          <t>The Window Type 
options are;
Standard
Bay Window
Corner Window
Door Cut Out
French Door
Shaped Arch
Shaped Hexagon
Shaped Octagon
Shaped Round
Shaped Sunburst
Shaped Triangle</t>
        </r>
      </text>
    </comment>
    <comment ref="N11" authorId="0" shapeId="0" xr:uid="{00000000-0006-0000-0900-000044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1" authorId="0" shapeId="0" xr:uid="{00000000-0006-0000-0900-000045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1" authorId="0" shapeId="0" xr:uid="{00000000-0006-0000-0900-000046000000}">
      <text>
        <r>
          <rPr>
            <sz val="8"/>
            <color indexed="81"/>
            <rFont val="Tahoma"/>
            <family val="2"/>
          </rPr>
          <t>Frame Type is dependent on
 Mounting Method.</t>
        </r>
      </text>
    </comment>
    <comment ref="V11" authorId="0" shapeId="0" xr:uid="{00000000-0006-0000-0900-000047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1" authorId="0" shapeId="0" xr:uid="{00000000-0006-0000-0900-000048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1" authorId="0" shapeId="0" xr:uid="{00000000-0006-0000-0900-000049000000}">
      <text>
        <r>
          <rPr>
            <sz val="8"/>
            <color indexed="81"/>
            <rFont val="Tahoma"/>
            <family val="2"/>
          </rPr>
          <t>Please Note: 
If Closed option is chosen then the blades 
can be damaged if they are left open 
when Sliding the Panel.</t>
        </r>
      </text>
    </comment>
    <comment ref="Y11" authorId="0" shapeId="0" xr:uid="{00000000-0006-0000-0900-00004A000000}">
      <text>
        <r>
          <rPr>
            <sz val="8"/>
            <color indexed="81"/>
            <rFont val="Tahoma"/>
            <family val="2"/>
          </rPr>
          <t>If any T Posts are required then the measurements 
must be supplied under the next columns.
Measurements should be made from the left.</t>
        </r>
      </text>
    </comment>
    <comment ref="AC11" authorId="0" shapeId="0" xr:uid="{00000000-0006-0000-0900-00004B000000}">
      <text>
        <r>
          <rPr>
            <sz val="8"/>
            <color indexed="81"/>
            <rFont val="Tahoma"/>
            <family val="2"/>
          </rPr>
          <t>If this field is left empty 
then 
No Fluffy Strip 
will be supplied.</t>
        </r>
      </text>
    </comment>
    <comment ref="C12" authorId="0" shapeId="0" xr:uid="{00000000-0006-0000-0900-00004C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2" authorId="0" shapeId="0" xr:uid="{00000000-0006-0000-0900-00004D000000}">
      <text>
        <r>
          <rPr>
            <sz val="8"/>
            <color indexed="81"/>
            <rFont val="Tahoma"/>
            <family val="2"/>
          </rPr>
          <t>Minimum Height is 350mm.
Maximum Fauxwood Height is 2600mm.
Maximum Timber Height is 3000mm.</t>
        </r>
      </text>
    </comment>
    <comment ref="E12" authorId="0" shapeId="0" xr:uid="{00000000-0006-0000-0900-00004E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2" authorId="0" shapeId="0" xr:uid="{00000000-0006-0000-0900-00004F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2" authorId="0" shapeId="0" xr:uid="{00000000-0006-0000-0900-000050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2" authorId="0" shapeId="0" xr:uid="{00000000-0006-0000-0900-000051000000}">
      <text>
        <r>
          <rPr>
            <sz val="8"/>
            <color indexed="81"/>
            <rFont val="Tahoma"/>
            <family val="2"/>
          </rPr>
          <t>Colour can only be selected once the 
Material &amp; Product type has been selected.</t>
        </r>
      </text>
    </comment>
    <comment ref="J12" authorId="0" shapeId="0" xr:uid="{00000000-0006-0000-0900-000052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2" authorId="0" shapeId="0" xr:uid="{00000000-0006-0000-0900-000053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2" authorId="0" shapeId="0" xr:uid="{00000000-0006-0000-0900-000054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2" authorId="0" shapeId="0" xr:uid="{00000000-0006-0000-0900-000055000000}">
      <text>
        <r>
          <rPr>
            <sz val="8"/>
            <color indexed="81"/>
            <rFont val="Tahoma"/>
            <family val="2"/>
          </rPr>
          <t>The Window Type 
options are;
Standard
Bay Window
Corner Window
Door Cut Out
French Door
Shaped Arch
Shaped Hexagon
Shaped Octagon
Shaped Round
Shaped Sunburst
Shaped Triangle</t>
        </r>
      </text>
    </comment>
    <comment ref="N12" authorId="0" shapeId="0" xr:uid="{00000000-0006-0000-0900-000056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2" authorId="0" shapeId="0" xr:uid="{00000000-0006-0000-0900-000057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2" authorId="0" shapeId="0" xr:uid="{00000000-0006-0000-0900-000058000000}">
      <text>
        <r>
          <rPr>
            <sz val="8"/>
            <color indexed="81"/>
            <rFont val="Tahoma"/>
            <family val="2"/>
          </rPr>
          <t>Frame Type is dependent on
 Mounting Method.</t>
        </r>
      </text>
    </comment>
    <comment ref="V12" authorId="0" shapeId="0" xr:uid="{00000000-0006-0000-0900-000059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2" authorId="0" shapeId="0" xr:uid="{00000000-0006-0000-0900-00005A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2" authorId="0" shapeId="0" xr:uid="{00000000-0006-0000-0900-00005B000000}">
      <text>
        <r>
          <rPr>
            <sz val="8"/>
            <color indexed="81"/>
            <rFont val="Tahoma"/>
            <family val="2"/>
          </rPr>
          <t>Please Note: 
If Closed option is chosen then the blades 
can be damaged if they are left open 
when Sliding the Panel.</t>
        </r>
      </text>
    </comment>
    <comment ref="Y12" authorId="0" shapeId="0" xr:uid="{00000000-0006-0000-0900-00005C000000}">
      <text>
        <r>
          <rPr>
            <sz val="8"/>
            <color indexed="81"/>
            <rFont val="Tahoma"/>
            <family val="2"/>
          </rPr>
          <t>If any T Posts are required then the measurements 
must be supplied under the next columns.
Measurements should be made from the left.</t>
        </r>
      </text>
    </comment>
    <comment ref="AC12" authorId="0" shapeId="0" xr:uid="{00000000-0006-0000-0900-00005D000000}">
      <text>
        <r>
          <rPr>
            <sz val="8"/>
            <color indexed="81"/>
            <rFont val="Tahoma"/>
            <family val="2"/>
          </rPr>
          <t>If this field is left empty 
then 
No Fluffy Strip 
will be supplied.</t>
        </r>
      </text>
    </comment>
    <comment ref="C13" authorId="0" shapeId="0" xr:uid="{00000000-0006-0000-0900-00005E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3" authorId="0" shapeId="0" xr:uid="{00000000-0006-0000-0900-00005F000000}">
      <text>
        <r>
          <rPr>
            <sz val="8"/>
            <color indexed="81"/>
            <rFont val="Tahoma"/>
            <family val="2"/>
          </rPr>
          <t>Minimum Height is 350mm.
Maximum Fauxwood Height is 2600mm.
Maximum Timber Height is 3000mm.</t>
        </r>
      </text>
    </comment>
    <comment ref="E13" authorId="0" shapeId="0" xr:uid="{00000000-0006-0000-0900-000060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3" authorId="0" shapeId="0" xr:uid="{00000000-0006-0000-0900-000061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3" authorId="0" shapeId="0" xr:uid="{00000000-0006-0000-0900-000062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3" authorId="0" shapeId="0" xr:uid="{00000000-0006-0000-0900-000063000000}">
      <text>
        <r>
          <rPr>
            <sz val="8"/>
            <color indexed="81"/>
            <rFont val="Tahoma"/>
            <family val="2"/>
          </rPr>
          <t>Colour can only be selected once the 
Material &amp; Product type has been selected.</t>
        </r>
      </text>
    </comment>
    <comment ref="J13" authorId="0" shapeId="0" xr:uid="{00000000-0006-0000-0900-000064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3" authorId="0" shapeId="0" xr:uid="{00000000-0006-0000-0900-000065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3" authorId="0" shapeId="0" xr:uid="{00000000-0006-0000-0900-000066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3" authorId="0" shapeId="0" xr:uid="{00000000-0006-0000-0900-000067000000}">
      <text>
        <r>
          <rPr>
            <sz val="8"/>
            <color indexed="81"/>
            <rFont val="Tahoma"/>
            <family val="2"/>
          </rPr>
          <t>The Window Type 
options are;
Standard
Bay Window
Corner Window
Door Cut Out
French Door
Shaped Arch
Shaped Hexagon
Shaped Octagon
Shaped Round
Shaped Sunburst
Shaped Triangle</t>
        </r>
      </text>
    </comment>
    <comment ref="N13" authorId="0" shapeId="0" xr:uid="{00000000-0006-0000-0900-000068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3" authorId="0" shapeId="0" xr:uid="{00000000-0006-0000-0900-000069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3" authorId="0" shapeId="0" xr:uid="{00000000-0006-0000-0900-00006A000000}">
      <text>
        <r>
          <rPr>
            <sz val="8"/>
            <color indexed="81"/>
            <rFont val="Tahoma"/>
            <family val="2"/>
          </rPr>
          <t>Frame Type is dependent on
 Mounting Method.</t>
        </r>
      </text>
    </comment>
    <comment ref="V13" authorId="0" shapeId="0" xr:uid="{00000000-0006-0000-0900-00006B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3" authorId="0" shapeId="0" xr:uid="{00000000-0006-0000-0900-00006C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3" authorId="0" shapeId="0" xr:uid="{00000000-0006-0000-0900-00006D000000}">
      <text>
        <r>
          <rPr>
            <sz val="8"/>
            <color indexed="81"/>
            <rFont val="Tahoma"/>
            <family val="2"/>
          </rPr>
          <t>Please Note: 
If Closed option is chosen then the blades 
can be damaged if they are left open 
when Sliding the Panel.</t>
        </r>
      </text>
    </comment>
    <comment ref="Y13" authorId="0" shapeId="0" xr:uid="{00000000-0006-0000-0900-00006E000000}">
      <text>
        <r>
          <rPr>
            <sz val="8"/>
            <color indexed="81"/>
            <rFont val="Tahoma"/>
            <family val="2"/>
          </rPr>
          <t>If any T Posts are required then the measurements 
must be supplied under the next columns.
Measurements should be made from the left.</t>
        </r>
      </text>
    </comment>
    <comment ref="AC13" authorId="0" shapeId="0" xr:uid="{00000000-0006-0000-0900-00006F000000}">
      <text>
        <r>
          <rPr>
            <sz val="8"/>
            <color indexed="81"/>
            <rFont val="Tahoma"/>
            <family val="2"/>
          </rPr>
          <t>If this field is left empty 
then 
No Fluffy Strip 
will be supplied.</t>
        </r>
      </text>
    </comment>
    <comment ref="C14" authorId="0" shapeId="0" xr:uid="{00000000-0006-0000-0900-000070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4" authorId="0" shapeId="0" xr:uid="{00000000-0006-0000-0900-000071000000}">
      <text>
        <r>
          <rPr>
            <sz val="8"/>
            <color indexed="81"/>
            <rFont val="Tahoma"/>
            <family val="2"/>
          </rPr>
          <t>Minimum Height is 350mm.
Maximum Fauxwood Height is 2600mm.
Maximum Timber Height is 3000mm.</t>
        </r>
      </text>
    </comment>
    <comment ref="E14" authorId="0" shapeId="0" xr:uid="{00000000-0006-0000-0900-000072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4" authorId="0" shapeId="0" xr:uid="{00000000-0006-0000-0900-000073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4" authorId="0" shapeId="0" xr:uid="{00000000-0006-0000-0900-000074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4" authorId="0" shapeId="0" xr:uid="{00000000-0006-0000-0900-000075000000}">
      <text>
        <r>
          <rPr>
            <sz val="8"/>
            <color indexed="81"/>
            <rFont val="Tahoma"/>
            <family val="2"/>
          </rPr>
          <t>Colour can only be selected once the 
Material &amp; Product type has been selected.</t>
        </r>
      </text>
    </comment>
    <comment ref="J14" authorId="0" shapeId="0" xr:uid="{00000000-0006-0000-0900-000076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4" authorId="0" shapeId="0" xr:uid="{00000000-0006-0000-0900-000077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4" authorId="0" shapeId="0" xr:uid="{00000000-0006-0000-0900-000078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4" authorId="0" shapeId="0" xr:uid="{00000000-0006-0000-0900-000079000000}">
      <text>
        <r>
          <rPr>
            <sz val="8"/>
            <color indexed="81"/>
            <rFont val="Tahoma"/>
            <family val="2"/>
          </rPr>
          <t>The Window Type 
options are;
Standard
Bay Window
Corner Window
Door Cut Out
French Door
Shaped Arch
Shaped Hexagon
Shaped Octagon
Shaped Round
Shaped Sunburst
Shaped Triangle</t>
        </r>
      </text>
    </comment>
    <comment ref="N14" authorId="0" shapeId="0" xr:uid="{00000000-0006-0000-0900-00007A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4" authorId="0" shapeId="0" xr:uid="{00000000-0006-0000-0900-00007B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4" authorId="0" shapeId="0" xr:uid="{00000000-0006-0000-0900-00007C000000}">
      <text>
        <r>
          <rPr>
            <sz val="8"/>
            <color indexed="81"/>
            <rFont val="Tahoma"/>
            <family val="2"/>
          </rPr>
          <t>Frame Type is dependent on
 Mounting Method.</t>
        </r>
      </text>
    </comment>
    <comment ref="V14" authorId="0" shapeId="0" xr:uid="{00000000-0006-0000-0900-00007D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4" authorId="0" shapeId="0" xr:uid="{00000000-0006-0000-0900-00007E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4" authorId="0" shapeId="0" xr:uid="{00000000-0006-0000-0900-00007F000000}">
      <text>
        <r>
          <rPr>
            <sz val="8"/>
            <color indexed="81"/>
            <rFont val="Tahoma"/>
            <family val="2"/>
          </rPr>
          <t>Please Note: 
If Closed option is chosen then the blades 
can be damaged if they are left open 
when Sliding the Panel.</t>
        </r>
      </text>
    </comment>
    <comment ref="Y14" authorId="0" shapeId="0" xr:uid="{00000000-0006-0000-0900-000080000000}">
      <text>
        <r>
          <rPr>
            <sz val="8"/>
            <color indexed="81"/>
            <rFont val="Tahoma"/>
            <family val="2"/>
          </rPr>
          <t>If any T Posts are required then the measurements 
must be supplied under the next columns.
Measurements should be made from the left.</t>
        </r>
      </text>
    </comment>
    <comment ref="AC14" authorId="0" shapeId="0" xr:uid="{00000000-0006-0000-0900-000081000000}">
      <text>
        <r>
          <rPr>
            <sz val="8"/>
            <color indexed="81"/>
            <rFont val="Tahoma"/>
            <family val="2"/>
          </rPr>
          <t>If this field is left empty 
then 
No Fluffy Strip 
will be supplied.</t>
        </r>
      </text>
    </comment>
    <comment ref="C15" authorId="0" shapeId="0" xr:uid="{00000000-0006-0000-0900-000082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5" authorId="0" shapeId="0" xr:uid="{00000000-0006-0000-0900-000083000000}">
      <text>
        <r>
          <rPr>
            <sz val="8"/>
            <color indexed="81"/>
            <rFont val="Tahoma"/>
            <family val="2"/>
          </rPr>
          <t>Minimum Height is 350mm.
Maximum Fauxwood Height is 2600mm.
Maximum Timber Height is 3000mm.</t>
        </r>
      </text>
    </comment>
    <comment ref="E15" authorId="0" shapeId="0" xr:uid="{00000000-0006-0000-0900-000084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5" authorId="0" shapeId="0" xr:uid="{00000000-0006-0000-0900-000085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5" authorId="0" shapeId="0" xr:uid="{00000000-0006-0000-0900-000086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5" authorId="0" shapeId="0" xr:uid="{00000000-0006-0000-0900-000087000000}">
      <text>
        <r>
          <rPr>
            <sz val="8"/>
            <color indexed="81"/>
            <rFont val="Tahoma"/>
            <family val="2"/>
          </rPr>
          <t>Colour can only be selected once the 
Material &amp; Product type has been selected.</t>
        </r>
      </text>
    </comment>
    <comment ref="J15" authorId="0" shapeId="0" xr:uid="{00000000-0006-0000-0900-000088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5" authorId="0" shapeId="0" xr:uid="{00000000-0006-0000-0900-000089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5" authorId="0" shapeId="0" xr:uid="{00000000-0006-0000-0900-00008A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5" authorId="0" shapeId="0" xr:uid="{00000000-0006-0000-0900-00008B000000}">
      <text>
        <r>
          <rPr>
            <sz val="8"/>
            <color indexed="81"/>
            <rFont val="Tahoma"/>
            <family val="2"/>
          </rPr>
          <t>The Window Type 
options are;
Standard
Bay Window
Corner Window
Door Cut Out
French Door
Shaped Arch
Shaped Hexagon
Shaped Octagon
Shaped Round
Shaped Sunburst
Shaped Triangle</t>
        </r>
      </text>
    </comment>
    <comment ref="N15" authorId="0" shapeId="0" xr:uid="{00000000-0006-0000-0900-00008C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5" authorId="0" shapeId="0" xr:uid="{00000000-0006-0000-0900-00008D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5" authorId="0" shapeId="0" xr:uid="{00000000-0006-0000-0900-00008E000000}">
      <text>
        <r>
          <rPr>
            <sz val="8"/>
            <color indexed="81"/>
            <rFont val="Tahoma"/>
            <family val="2"/>
          </rPr>
          <t>Frame Type is dependent on
 Mounting Method.</t>
        </r>
      </text>
    </comment>
    <comment ref="V15" authorId="0" shapeId="0" xr:uid="{00000000-0006-0000-0900-00008F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5" authorId="0" shapeId="0" xr:uid="{00000000-0006-0000-0900-000090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5" authorId="0" shapeId="0" xr:uid="{00000000-0006-0000-0900-000091000000}">
      <text>
        <r>
          <rPr>
            <sz val="8"/>
            <color indexed="81"/>
            <rFont val="Tahoma"/>
            <family val="2"/>
          </rPr>
          <t>Please Note: 
If Closed option is chosen then the blades 
can be damaged if they are left open 
when Sliding the Panel.</t>
        </r>
      </text>
    </comment>
    <comment ref="Y15" authorId="0" shapeId="0" xr:uid="{00000000-0006-0000-0900-000092000000}">
      <text>
        <r>
          <rPr>
            <sz val="8"/>
            <color indexed="81"/>
            <rFont val="Tahoma"/>
            <family val="2"/>
          </rPr>
          <t>If any T Posts are required then the measurements 
must be supplied under the next columns.
Measurements should be made from the left.</t>
        </r>
      </text>
    </comment>
    <comment ref="AC15" authorId="0" shapeId="0" xr:uid="{00000000-0006-0000-0900-000093000000}">
      <text>
        <r>
          <rPr>
            <sz val="8"/>
            <color indexed="81"/>
            <rFont val="Tahoma"/>
            <family val="2"/>
          </rPr>
          <t>If this field is left empty 
then 
No Fluffy Strip 
will be supplied.</t>
        </r>
      </text>
    </comment>
    <comment ref="C16" authorId="0" shapeId="0" xr:uid="{00000000-0006-0000-0900-000094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6" authorId="0" shapeId="0" xr:uid="{00000000-0006-0000-0900-000095000000}">
      <text>
        <r>
          <rPr>
            <sz val="8"/>
            <color indexed="81"/>
            <rFont val="Tahoma"/>
            <family val="2"/>
          </rPr>
          <t>Minimum Height is 350mm.
Maximum Fauxwood Height is 2600mm.
Maximum Timber Height is 3000mm.</t>
        </r>
      </text>
    </comment>
    <comment ref="E16" authorId="0" shapeId="0" xr:uid="{00000000-0006-0000-0900-000096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6" authorId="0" shapeId="0" xr:uid="{00000000-0006-0000-0900-000097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6" authorId="0" shapeId="0" xr:uid="{00000000-0006-0000-0900-000098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6" authorId="0" shapeId="0" xr:uid="{00000000-0006-0000-0900-000099000000}">
      <text>
        <r>
          <rPr>
            <sz val="8"/>
            <color indexed="81"/>
            <rFont val="Tahoma"/>
            <family val="2"/>
          </rPr>
          <t>Colour can only be selected once the 
Material &amp; Product type has been selected.</t>
        </r>
      </text>
    </comment>
    <comment ref="J16" authorId="0" shapeId="0" xr:uid="{00000000-0006-0000-0900-00009A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6" authorId="0" shapeId="0" xr:uid="{00000000-0006-0000-0900-00009B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6" authorId="0" shapeId="0" xr:uid="{00000000-0006-0000-0900-00009C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6" authorId="0" shapeId="0" xr:uid="{00000000-0006-0000-0900-00009D000000}">
      <text>
        <r>
          <rPr>
            <sz val="8"/>
            <color indexed="81"/>
            <rFont val="Tahoma"/>
            <family val="2"/>
          </rPr>
          <t>The Window Type 
options are;
Standard
Bay Window
Corner Window
Door Cut Out
French Door
Shaped Arch
Shaped Hexagon
Shaped Octagon
Shaped Round
Shaped Sunburst
Shaped Triangle</t>
        </r>
      </text>
    </comment>
    <comment ref="N16" authorId="0" shapeId="0" xr:uid="{00000000-0006-0000-0900-00009E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6" authorId="0" shapeId="0" xr:uid="{00000000-0006-0000-0900-00009F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6" authorId="0" shapeId="0" xr:uid="{00000000-0006-0000-0900-0000A0000000}">
      <text>
        <r>
          <rPr>
            <sz val="8"/>
            <color indexed="81"/>
            <rFont val="Tahoma"/>
            <family val="2"/>
          </rPr>
          <t>Frame Type is dependent on
 Mounting Method.</t>
        </r>
      </text>
    </comment>
    <comment ref="V16" authorId="0" shapeId="0" xr:uid="{00000000-0006-0000-0900-0000A1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6" authorId="0" shapeId="0" xr:uid="{00000000-0006-0000-0900-0000A2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6" authorId="0" shapeId="0" xr:uid="{00000000-0006-0000-0900-0000A3000000}">
      <text>
        <r>
          <rPr>
            <sz val="8"/>
            <color indexed="81"/>
            <rFont val="Tahoma"/>
            <family val="2"/>
          </rPr>
          <t>Please Note: 
If Closed option is chosen then the blades 
can be damaged if they are left open 
when Sliding the Panel.</t>
        </r>
      </text>
    </comment>
    <comment ref="Y16" authorId="0" shapeId="0" xr:uid="{00000000-0006-0000-0900-0000A4000000}">
      <text>
        <r>
          <rPr>
            <sz val="8"/>
            <color indexed="81"/>
            <rFont val="Tahoma"/>
            <family val="2"/>
          </rPr>
          <t>If any T Posts are required then the measurements 
must be supplied under the next columns.
Measurements should be made from the left.</t>
        </r>
      </text>
    </comment>
    <comment ref="AC16" authorId="0" shapeId="0" xr:uid="{00000000-0006-0000-0900-0000A5000000}">
      <text>
        <r>
          <rPr>
            <sz val="8"/>
            <color indexed="81"/>
            <rFont val="Tahoma"/>
            <family val="2"/>
          </rPr>
          <t>If this field is left empty 
then 
No Fluffy Strip 
will be supplied.</t>
        </r>
      </text>
    </comment>
    <comment ref="C17" authorId="0" shapeId="0" xr:uid="{00000000-0006-0000-0900-0000A6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7" authorId="0" shapeId="0" xr:uid="{00000000-0006-0000-0900-0000A7000000}">
      <text>
        <r>
          <rPr>
            <sz val="8"/>
            <color indexed="81"/>
            <rFont val="Tahoma"/>
            <family val="2"/>
          </rPr>
          <t>Minimum Height is 350mm.
Maximum Fauxwood Height is 2600mm.
Maximum Timber Height is 3000mm.</t>
        </r>
      </text>
    </comment>
    <comment ref="E17" authorId="0" shapeId="0" xr:uid="{00000000-0006-0000-0900-0000A8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7" authorId="0" shapeId="0" xr:uid="{00000000-0006-0000-0900-0000A9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7" authorId="0" shapeId="0" xr:uid="{00000000-0006-0000-0900-0000AA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7" authorId="0" shapeId="0" xr:uid="{00000000-0006-0000-0900-0000AB000000}">
      <text>
        <r>
          <rPr>
            <sz val="8"/>
            <color indexed="81"/>
            <rFont val="Tahoma"/>
            <family val="2"/>
          </rPr>
          <t>Colour can only be selected once the 
Material &amp; Product type has been selected.</t>
        </r>
      </text>
    </comment>
    <comment ref="J17" authorId="0" shapeId="0" xr:uid="{00000000-0006-0000-0900-0000AC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7" authorId="0" shapeId="0" xr:uid="{00000000-0006-0000-0900-0000AD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7" authorId="0" shapeId="0" xr:uid="{00000000-0006-0000-0900-0000AE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7" authorId="0" shapeId="0" xr:uid="{00000000-0006-0000-0900-0000AF000000}">
      <text>
        <r>
          <rPr>
            <sz val="8"/>
            <color indexed="81"/>
            <rFont val="Tahoma"/>
            <family val="2"/>
          </rPr>
          <t>The Window Type 
options are;
Standard
Bay Window
Corner Window
Door Cut Out
French Door
Shaped Arch
Shaped Hexagon
Shaped Octagon
Shaped Round
Shaped Sunburst
Shaped Triangle</t>
        </r>
      </text>
    </comment>
    <comment ref="N17" authorId="0" shapeId="0" xr:uid="{00000000-0006-0000-0900-0000B0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7" authorId="0" shapeId="0" xr:uid="{00000000-0006-0000-0900-0000B1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7" authorId="0" shapeId="0" xr:uid="{00000000-0006-0000-0900-0000B2000000}">
      <text>
        <r>
          <rPr>
            <sz val="8"/>
            <color indexed="81"/>
            <rFont val="Tahoma"/>
            <family val="2"/>
          </rPr>
          <t>Frame Type is dependent on
 Mounting Method.</t>
        </r>
      </text>
    </comment>
    <comment ref="V17" authorId="0" shapeId="0" xr:uid="{00000000-0006-0000-0900-0000B3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7" authorId="0" shapeId="0" xr:uid="{00000000-0006-0000-0900-0000B4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7" authorId="0" shapeId="0" xr:uid="{00000000-0006-0000-0900-0000B5000000}">
      <text>
        <r>
          <rPr>
            <sz val="8"/>
            <color indexed="81"/>
            <rFont val="Tahoma"/>
            <family val="2"/>
          </rPr>
          <t>Please Note: 
If Closed option is chosen then the blades 
can be damaged if they are left open 
when Sliding the Panel.</t>
        </r>
      </text>
    </comment>
    <comment ref="Y17" authorId="0" shapeId="0" xr:uid="{00000000-0006-0000-0900-0000B6000000}">
      <text>
        <r>
          <rPr>
            <sz val="8"/>
            <color indexed="81"/>
            <rFont val="Tahoma"/>
            <family val="2"/>
          </rPr>
          <t>If any T Posts are required then the measurements 
must be supplied under the next columns.
Measurements should be made from the left.</t>
        </r>
      </text>
    </comment>
    <comment ref="AC17" authorId="0" shapeId="0" xr:uid="{00000000-0006-0000-0900-0000B7000000}">
      <text>
        <r>
          <rPr>
            <sz val="8"/>
            <color indexed="81"/>
            <rFont val="Tahoma"/>
            <family val="2"/>
          </rPr>
          <t>If this field is left empty 
then 
No Fluffy Strip 
will be supplied.</t>
        </r>
      </text>
    </comment>
    <comment ref="C18" authorId="0" shapeId="0" xr:uid="{00000000-0006-0000-0900-0000B8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8" authorId="0" shapeId="0" xr:uid="{00000000-0006-0000-0900-0000B9000000}">
      <text>
        <r>
          <rPr>
            <sz val="8"/>
            <color indexed="81"/>
            <rFont val="Tahoma"/>
            <family val="2"/>
          </rPr>
          <t>Minimum Height is 350mm.
Maximum Fauxwood Height is 2600mm.
Maximum Timber Height is 3000mm.</t>
        </r>
      </text>
    </comment>
    <comment ref="E18" authorId="0" shapeId="0" xr:uid="{00000000-0006-0000-0900-0000BA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8" authorId="0" shapeId="0" xr:uid="{00000000-0006-0000-0900-0000BB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8" authorId="0" shapeId="0" xr:uid="{00000000-0006-0000-0900-0000BC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8" authorId="0" shapeId="0" xr:uid="{00000000-0006-0000-0900-0000BD000000}">
      <text>
        <r>
          <rPr>
            <sz val="8"/>
            <color indexed="81"/>
            <rFont val="Tahoma"/>
            <family val="2"/>
          </rPr>
          <t>Colour can only be selected once the 
Material &amp; Product type has been selected.</t>
        </r>
      </text>
    </comment>
    <comment ref="J18" authorId="0" shapeId="0" xr:uid="{00000000-0006-0000-0900-0000BE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8" authorId="0" shapeId="0" xr:uid="{00000000-0006-0000-0900-0000BF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8" authorId="0" shapeId="0" xr:uid="{00000000-0006-0000-0900-0000C0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8" authorId="0" shapeId="0" xr:uid="{00000000-0006-0000-0900-0000C1000000}">
      <text>
        <r>
          <rPr>
            <sz val="8"/>
            <color indexed="81"/>
            <rFont val="Tahoma"/>
            <family val="2"/>
          </rPr>
          <t>The Window Type 
options are;
Standard
Bay Window
Corner Window
Door Cut Out
French Door
Shaped Arch
Shaped Hexagon
Shaped Octagon
Shaped Round
Shaped Sunburst
Shaped Triangle</t>
        </r>
      </text>
    </comment>
    <comment ref="N18" authorId="0" shapeId="0" xr:uid="{00000000-0006-0000-0900-0000C2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8" authorId="0" shapeId="0" xr:uid="{00000000-0006-0000-0900-0000C3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8" authorId="0" shapeId="0" xr:uid="{00000000-0006-0000-0900-0000C4000000}">
      <text>
        <r>
          <rPr>
            <sz val="8"/>
            <color indexed="81"/>
            <rFont val="Tahoma"/>
            <family val="2"/>
          </rPr>
          <t>Frame Type is dependent on
 Mounting Method.</t>
        </r>
      </text>
    </comment>
    <comment ref="V18" authorId="0" shapeId="0" xr:uid="{00000000-0006-0000-0900-0000C5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8" authorId="0" shapeId="0" xr:uid="{00000000-0006-0000-0900-0000C6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8" authorId="0" shapeId="0" xr:uid="{00000000-0006-0000-0900-0000C7000000}">
      <text>
        <r>
          <rPr>
            <sz val="8"/>
            <color indexed="81"/>
            <rFont val="Tahoma"/>
            <family val="2"/>
          </rPr>
          <t>Please Note: 
If Closed option is chosen then the blades 
can be damaged if they are left open 
when Sliding the Panel.</t>
        </r>
      </text>
    </comment>
    <comment ref="Y18" authorId="0" shapeId="0" xr:uid="{00000000-0006-0000-0900-0000C8000000}">
      <text>
        <r>
          <rPr>
            <sz val="8"/>
            <color indexed="81"/>
            <rFont val="Tahoma"/>
            <family val="2"/>
          </rPr>
          <t>If any T Posts are required then the measurements 
must be supplied under the next columns.
Measurements should be made from the left.</t>
        </r>
      </text>
    </comment>
    <comment ref="AC18" authorId="0" shapeId="0" xr:uid="{00000000-0006-0000-0900-0000C9000000}">
      <text>
        <r>
          <rPr>
            <sz val="8"/>
            <color indexed="81"/>
            <rFont val="Tahoma"/>
            <family val="2"/>
          </rPr>
          <t>If this field is left empty 
then 
No Fluffy Strip 
will be supplied.</t>
        </r>
      </text>
    </comment>
    <comment ref="C19" authorId="0" shapeId="0" xr:uid="{00000000-0006-0000-0900-0000CA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9" authorId="0" shapeId="0" xr:uid="{00000000-0006-0000-0900-0000CB000000}">
      <text>
        <r>
          <rPr>
            <sz val="8"/>
            <color indexed="81"/>
            <rFont val="Tahoma"/>
            <family val="2"/>
          </rPr>
          <t>Minimum Height is 350mm.
Maximum Fauxwood Height is 2600mm.
Maximum Timber Height is 3000mm.</t>
        </r>
      </text>
    </comment>
    <comment ref="E19" authorId="0" shapeId="0" xr:uid="{00000000-0006-0000-0900-0000CC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9" authorId="0" shapeId="0" xr:uid="{00000000-0006-0000-0900-0000CD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9" authorId="0" shapeId="0" xr:uid="{00000000-0006-0000-0900-0000CE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9" authorId="0" shapeId="0" xr:uid="{00000000-0006-0000-0900-0000CF000000}">
      <text>
        <r>
          <rPr>
            <sz val="8"/>
            <color indexed="81"/>
            <rFont val="Tahoma"/>
            <family val="2"/>
          </rPr>
          <t>Colour can only be selected once the 
Material &amp; Product type has been selected.</t>
        </r>
      </text>
    </comment>
    <comment ref="J19" authorId="0" shapeId="0" xr:uid="{00000000-0006-0000-0900-0000D0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9" authorId="0" shapeId="0" xr:uid="{00000000-0006-0000-0900-0000D1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9" authorId="0" shapeId="0" xr:uid="{00000000-0006-0000-0900-0000D2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9" authorId="0" shapeId="0" xr:uid="{00000000-0006-0000-0900-0000D3000000}">
      <text>
        <r>
          <rPr>
            <sz val="8"/>
            <color indexed="81"/>
            <rFont val="Tahoma"/>
            <family val="2"/>
          </rPr>
          <t>The Window Type 
options are;
Standard
Bay Window
Corner Window
Door Cut Out
French Door
Shaped Arch
Shaped Hexagon
Shaped Octagon
Shaped Round
Shaped Sunburst
Shaped Triangle</t>
        </r>
      </text>
    </comment>
    <comment ref="N19" authorId="0" shapeId="0" xr:uid="{00000000-0006-0000-0900-0000D4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9" authorId="0" shapeId="0" xr:uid="{00000000-0006-0000-0900-0000D5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9" authorId="0" shapeId="0" xr:uid="{00000000-0006-0000-0900-0000D6000000}">
      <text>
        <r>
          <rPr>
            <sz val="8"/>
            <color indexed="81"/>
            <rFont val="Tahoma"/>
            <family val="2"/>
          </rPr>
          <t>Frame Type is dependent on
 Mounting Method.</t>
        </r>
      </text>
    </comment>
    <comment ref="V19" authorId="0" shapeId="0" xr:uid="{00000000-0006-0000-0900-0000D7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9" authorId="0" shapeId="0" xr:uid="{00000000-0006-0000-0900-0000D8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9" authorId="0" shapeId="0" xr:uid="{00000000-0006-0000-0900-0000D9000000}">
      <text>
        <r>
          <rPr>
            <sz val="8"/>
            <color indexed="81"/>
            <rFont val="Tahoma"/>
            <family val="2"/>
          </rPr>
          <t>Please Note: 
If Closed option is chosen then the blades 
can be damaged if they are left open 
when Sliding the Panel.</t>
        </r>
      </text>
    </comment>
    <comment ref="Y19" authorId="0" shapeId="0" xr:uid="{00000000-0006-0000-0900-0000DA000000}">
      <text>
        <r>
          <rPr>
            <sz val="8"/>
            <color indexed="81"/>
            <rFont val="Tahoma"/>
            <family val="2"/>
          </rPr>
          <t>If any T Posts are required then the measurements 
must be supplied under the next columns.
Measurements should be made from the left.</t>
        </r>
      </text>
    </comment>
    <comment ref="AC19" authorId="0" shapeId="0" xr:uid="{00000000-0006-0000-0900-0000DB000000}">
      <text>
        <r>
          <rPr>
            <sz val="8"/>
            <color indexed="81"/>
            <rFont val="Tahoma"/>
            <family val="2"/>
          </rPr>
          <t>If this field is left empty 
then 
No Fluffy Strip 
will be supplied.</t>
        </r>
      </text>
    </comment>
    <comment ref="C20" authorId="0" shapeId="0" xr:uid="{00000000-0006-0000-0900-0000DC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20" authorId="0" shapeId="0" xr:uid="{00000000-0006-0000-0900-0000DD000000}">
      <text>
        <r>
          <rPr>
            <sz val="8"/>
            <color indexed="81"/>
            <rFont val="Tahoma"/>
            <family val="2"/>
          </rPr>
          <t>Minimum Height is 350mm.
Maximum Fauxwood Height is 2600mm.
Maximum Timber Height is 3000mm.</t>
        </r>
      </text>
    </comment>
    <comment ref="E20" authorId="0" shapeId="0" xr:uid="{00000000-0006-0000-0900-0000DE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0" authorId="0" shapeId="0" xr:uid="{00000000-0006-0000-0900-0000DF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20" authorId="0" shapeId="0" xr:uid="{00000000-0006-0000-0900-0000E0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20" authorId="0" shapeId="0" xr:uid="{00000000-0006-0000-0900-0000E1000000}">
      <text>
        <r>
          <rPr>
            <sz val="8"/>
            <color indexed="81"/>
            <rFont val="Tahoma"/>
            <family val="2"/>
          </rPr>
          <t>Colour can only be selected once the 
Material &amp; Product type has been selected.</t>
        </r>
      </text>
    </comment>
    <comment ref="J20" authorId="0" shapeId="0" xr:uid="{00000000-0006-0000-0900-0000E2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20" authorId="0" shapeId="0" xr:uid="{00000000-0006-0000-0900-0000E3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20" authorId="0" shapeId="0" xr:uid="{00000000-0006-0000-0900-0000E4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20" authorId="0" shapeId="0" xr:uid="{00000000-0006-0000-0900-0000E5000000}">
      <text>
        <r>
          <rPr>
            <sz val="8"/>
            <color indexed="81"/>
            <rFont val="Tahoma"/>
            <family val="2"/>
          </rPr>
          <t>The Window Type 
options are;
Standard
Bay Window
Corner Window
Door Cut Out
French Door
Shaped Arch
Shaped Hexagon
Shaped Octagon
Shaped Round
Shaped Sunburst
Shaped Triangle</t>
        </r>
      </text>
    </comment>
    <comment ref="N20" authorId="0" shapeId="0" xr:uid="{00000000-0006-0000-0900-0000E6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20" authorId="0" shapeId="0" xr:uid="{00000000-0006-0000-0900-0000E7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20" authorId="0" shapeId="0" xr:uid="{00000000-0006-0000-0900-0000E8000000}">
      <text>
        <r>
          <rPr>
            <sz val="8"/>
            <color indexed="81"/>
            <rFont val="Tahoma"/>
            <family val="2"/>
          </rPr>
          <t>Frame Type is dependent on
 Mounting Method.</t>
        </r>
      </text>
    </comment>
    <comment ref="V20" authorId="0" shapeId="0" xr:uid="{00000000-0006-0000-0900-0000E9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20" authorId="0" shapeId="0" xr:uid="{00000000-0006-0000-0900-0000EA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20" authorId="0" shapeId="0" xr:uid="{00000000-0006-0000-0900-0000EB000000}">
      <text>
        <r>
          <rPr>
            <sz val="8"/>
            <color indexed="81"/>
            <rFont val="Tahoma"/>
            <family val="2"/>
          </rPr>
          <t>Please Note: 
If Closed option is chosen then the blades 
can be damaged if they are left open 
when Sliding the Panel.</t>
        </r>
      </text>
    </comment>
    <comment ref="Y20" authorId="0" shapeId="0" xr:uid="{00000000-0006-0000-0900-0000EC000000}">
      <text>
        <r>
          <rPr>
            <sz val="8"/>
            <color indexed="81"/>
            <rFont val="Tahoma"/>
            <family val="2"/>
          </rPr>
          <t>If any T Posts are required then the measurements 
must be supplied under the next columns.
Measurements should be made from the left.</t>
        </r>
      </text>
    </comment>
    <comment ref="AC20" authorId="0" shapeId="0" xr:uid="{00000000-0006-0000-0900-0000ED000000}">
      <text>
        <r>
          <rPr>
            <sz val="8"/>
            <color indexed="81"/>
            <rFont val="Tahoma"/>
            <family val="2"/>
          </rPr>
          <t>If this field is left empty 
then 
No Fluffy Strip 
will be supplied.</t>
        </r>
      </text>
    </comment>
    <comment ref="C21" authorId="0" shapeId="0" xr:uid="{00000000-0006-0000-0900-0000EE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21" authorId="0" shapeId="0" xr:uid="{00000000-0006-0000-0900-0000EF000000}">
      <text>
        <r>
          <rPr>
            <sz val="8"/>
            <color indexed="81"/>
            <rFont val="Tahoma"/>
            <family val="2"/>
          </rPr>
          <t>Minimum Height is 350mm.
Maximum Fauxwood Height is 2600mm.
Maximum Timber Height is 3000mm.</t>
        </r>
      </text>
    </comment>
    <comment ref="E21" authorId="0" shapeId="0" xr:uid="{00000000-0006-0000-0900-0000F0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1" authorId="0" shapeId="0" xr:uid="{00000000-0006-0000-0900-0000F1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21" authorId="0" shapeId="0" xr:uid="{00000000-0006-0000-0900-0000F2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21" authorId="0" shapeId="0" xr:uid="{00000000-0006-0000-0900-0000F3000000}">
      <text>
        <r>
          <rPr>
            <sz val="8"/>
            <color indexed="81"/>
            <rFont val="Tahoma"/>
            <family val="2"/>
          </rPr>
          <t>Colour can only be selected once the 
Material &amp; Product type has been selected.</t>
        </r>
      </text>
    </comment>
    <comment ref="J21" authorId="0" shapeId="0" xr:uid="{00000000-0006-0000-0900-0000F4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21" authorId="0" shapeId="0" xr:uid="{00000000-0006-0000-0900-0000F5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21" authorId="0" shapeId="0" xr:uid="{00000000-0006-0000-0900-0000F6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21" authorId="0" shapeId="0" xr:uid="{00000000-0006-0000-0900-0000F7000000}">
      <text>
        <r>
          <rPr>
            <sz val="8"/>
            <color indexed="81"/>
            <rFont val="Tahoma"/>
            <family val="2"/>
          </rPr>
          <t>The Window Type 
options are;
Standard
Bay Window
Corner Window
Door Cut Out
French Door
Shaped Arch
Shaped Hexagon
Shaped Octagon
Shaped Round
Shaped Sunburst
Shaped Triangle</t>
        </r>
      </text>
    </comment>
    <comment ref="N21" authorId="0" shapeId="0" xr:uid="{00000000-0006-0000-0900-0000F8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21" authorId="0" shapeId="0" xr:uid="{00000000-0006-0000-0900-0000F9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21" authorId="0" shapeId="0" xr:uid="{00000000-0006-0000-0900-0000FA000000}">
      <text>
        <r>
          <rPr>
            <sz val="8"/>
            <color indexed="81"/>
            <rFont val="Tahoma"/>
            <family val="2"/>
          </rPr>
          <t>Frame Type is dependent on
 Mounting Method.</t>
        </r>
      </text>
    </comment>
    <comment ref="V21" authorId="0" shapeId="0" xr:uid="{00000000-0006-0000-0900-0000FB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21" authorId="0" shapeId="0" xr:uid="{00000000-0006-0000-0900-0000FC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21" authorId="0" shapeId="0" xr:uid="{00000000-0006-0000-0900-0000FD000000}">
      <text>
        <r>
          <rPr>
            <sz val="8"/>
            <color indexed="81"/>
            <rFont val="Tahoma"/>
            <family val="2"/>
          </rPr>
          <t>Please Note: 
If Closed option is chosen then the blades 
can be damaged if they are left open 
when Sliding the Panel.</t>
        </r>
      </text>
    </comment>
    <comment ref="Y21" authorId="0" shapeId="0" xr:uid="{00000000-0006-0000-0900-0000FE000000}">
      <text>
        <r>
          <rPr>
            <sz val="8"/>
            <color indexed="81"/>
            <rFont val="Tahoma"/>
            <family val="2"/>
          </rPr>
          <t>If any T Posts are required then the measurements 
must be supplied under the next columns.
Measurements should be made from the left.</t>
        </r>
      </text>
    </comment>
    <comment ref="AC21" authorId="0" shapeId="0" xr:uid="{00000000-0006-0000-0900-0000FF000000}">
      <text>
        <r>
          <rPr>
            <sz val="8"/>
            <color indexed="81"/>
            <rFont val="Tahoma"/>
            <family val="2"/>
          </rPr>
          <t>If this field is left empty 
then 
No Fluffy Strip 
will be supplied.</t>
        </r>
      </text>
    </comment>
    <comment ref="C22" authorId="0" shapeId="0" xr:uid="{00000000-0006-0000-0900-00000001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22" authorId="0" shapeId="0" xr:uid="{00000000-0006-0000-0900-000001010000}">
      <text>
        <r>
          <rPr>
            <sz val="8"/>
            <color indexed="81"/>
            <rFont val="Tahoma"/>
            <family val="2"/>
          </rPr>
          <t>Minimum Height is 350mm.
Maximum Fauxwood Height is 2600mm.
Maximum Timber Height is 3000mm.</t>
        </r>
      </text>
    </comment>
    <comment ref="E22" authorId="0" shapeId="0" xr:uid="{00000000-0006-0000-0900-00000201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2" authorId="0" shapeId="0" xr:uid="{00000000-0006-0000-0900-00000301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22" authorId="0" shapeId="0" xr:uid="{00000000-0006-0000-0900-00000401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22" authorId="0" shapeId="0" xr:uid="{00000000-0006-0000-0900-000005010000}">
      <text>
        <r>
          <rPr>
            <sz val="8"/>
            <color indexed="81"/>
            <rFont val="Tahoma"/>
            <family val="2"/>
          </rPr>
          <t>Colour can only be selected once the 
Material &amp; Product type has been selected.</t>
        </r>
      </text>
    </comment>
    <comment ref="J22" authorId="0" shapeId="0" xr:uid="{00000000-0006-0000-0900-00000601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22" authorId="0" shapeId="0" xr:uid="{00000000-0006-0000-0900-00000701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22" authorId="0" shapeId="0" xr:uid="{00000000-0006-0000-0900-00000801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22" authorId="0" shapeId="0" xr:uid="{00000000-0006-0000-0900-000009010000}">
      <text>
        <r>
          <rPr>
            <sz val="8"/>
            <color indexed="81"/>
            <rFont val="Tahoma"/>
            <family val="2"/>
          </rPr>
          <t>The Window Type 
options are;
Standard
Bay Window
Corner Window
Door Cut Out
French Door
Shaped Arch
Shaped Hexagon
Shaped Octagon
Shaped Round
Shaped Sunburst
Shaped Triangle</t>
        </r>
      </text>
    </comment>
    <comment ref="N22" authorId="0" shapeId="0" xr:uid="{00000000-0006-0000-0900-00000A01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22" authorId="0" shapeId="0" xr:uid="{00000000-0006-0000-0900-00000B01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22" authorId="0" shapeId="0" xr:uid="{00000000-0006-0000-0900-00000C010000}">
      <text>
        <r>
          <rPr>
            <sz val="8"/>
            <color indexed="81"/>
            <rFont val="Tahoma"/>
            <family val="2"/>
          </rPr>
          <t>Frame Type is dependent on
 Mounting Method.</t>
        </r>
      </text>
    </comment>
    <comment ref="V22" authorId="0" shapeId="0" xr:uid="{00000000-0006-0000-0900-00000D01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22" authorId="0" shapeId="0" xr:uid="{00000000-0006-0000-0900-00000E01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22" authorId="0" shapeId="0" xr:uid="{00000000-0006-0000-0900-00000F010000}">
      <text>
        <r>
          <rPr>
            <sz val="8"/>
            <color indexed="81"/>
            <rFont val="Tahoma"/>
            <family val="2"/>
          </rPr>
          <t>Please Note: 
If Closed option is chosen then the blades 
can be damaged if they are left open 
when Sliding the Panel.</t>
        </r>
      </text>
    </comment>
    <comment ref="Y22" authorId="0" shapeId="0" xr:uid="{00000000-0006-0000-0900-000010010000}">
      <text>
        <r>
          <rPr>
            <sz val="8"/>
            <color indexed="81"/>
            <rFont val="Tahoma"/>
            <family val="2"/>
          </rPr>
          <t>If any T Posts are required then the measurements 
must be supplied under the next columns.
Measurements should be made from the left.</t>
        </r>
      </text>
    </comment>
    <comment ref="AC22" authorId="0" shapeId="0" xr:uid="{00000000-0006-0000-0900-000011010000}">
      <text>
        <r>
          <rPr>
            <sz val="8"/>
            <color indexed="81"/>
            <rFont val="Tahoma"/>
            <family val="2"/>
          </rPr>
          <t>If this field is left empty 
then 
No Fluffy Strip 
will be supplied.</t>
        </r>
      </text>
    </comment>
    <comment ref="C23" authorId="0" shapeId="0" xr:uid="{00000000-0006-0000-0900-00001201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23" authorId="0" shapeId="0" xr:uid="{00000000-0006-0000-0900-000013010000}">
      <text>
        <r>
          <rPr>
            <sz val="8"/>
            <color indexed="81"/>
            <rFont val="Tahoma"/>
            <family val="2"/>
          </rPr>
          <t>Minimum Height is 350mm.
Maximum Fauxwood Height is 2600mm.
Maximum Timber Height is 3000mm.</t>
        </r>
      </text>
    </comment>
    <comment ref="E23" authorId="0" shapeId="0" xr:uid="{00000000-0006-0000-0900-00001401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3" authorId="0" shapeId="0" xr:uid="{00000000-0006-0000-0900-00001501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23" authorId="0" shapeId="0" xr:uid="{00000000-0006-0000-0900-00001601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23" authorId="0" shapeId="0" xr:uid="{00000000-0006-0000-0900-000017010000}">
      <text>
        <r>
          <rPr>
            <sz val="8"/>
            <color indexed="81"/>
            <rFont val="Tahoma"/>
            <family val="2"/>
          </rPr>
          <t>Colour can only be selected once the 
Material &amp; Product type has been selected.</t>
        </r>
      </text>
    </comment>
    <comment ref="J23" authorId="0" shapeId="0" xr:uid="{00000000-0006-0000-0900-00001801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23" authorId="0" shapeId="0" xr:uid="{00000000-0006-0000-0900-00001901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23" authorId="0" shapeId="0" xr:uid="{00000000-0006-0000-0900-00001A01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23" authorId="0" shapeId="0" xr:uid="{00000000-0006-0000-0900-00001B010000}">
      <text>
        <r>
          <rPr>
            <sz val="8"/>
            <color indexed="81"/>
            <rFont val="Tahoma"/>
            <family val="2"/>
          </rPr>
          <t>The Window Type 
options are;
Standard
Bay Window
Corner Window
Door Cut Out
French Door
Shaped Arch
Shaped Hexagon
Shaped Octagon
Shaped Round
Shaped Sunburst
Shaped Triangle</t>
        </r>
      </text>
    </comment>
    <comment ref="N23" authorId="0" shapeId="0" xr:uid="{00000000-0006-0000-0900-00001C01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23" authorId="0" shapeId="0" xr:uid="{00000000-0006-0000-0900-00001D01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23" authorId="0" shapeId="0" xr:uid="{00000000-0006-0000-0900-00001E010000}">
      <text>
        <r>
          <rPr>
            <sz val="8"/>
            <color indexed="81"/>
            <rFont val="Tahoma"/>
            <family val="2"/>
          </rPr>
          <t>Frame Type is dependent on
 Mounting Method.</t>
        </r>
      </text>
    </comment>
    <comment ref="V23" authorId="0" shapeId="0" xr:uid="{00000000-0006-0000-0900-00001F01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23" authorId="0" shapeId="0" xr:uid="{00000000-0006-0000-0900-00002001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23" authorId="0" shapeId="0" xr:uid="{00000000-0006-0000-0900-000021010000}">
      <text>
        <r>
          <rPr>
            <sz val="8"/>
            <color indexed="81"/>
            <rFont val="Tahoma"/>
            <family val="2"/>
          </rPr>
          <t>Please Note: 
If Closed option is chosen then the blades 
can be damaged if they are left open 
when Sliding the Panel.</t>
        </r>
      </text>
    </comment>
    <comment ref="Y23" authorId="0" shapeId="0" xr:uid="{00000000-0006-0000-0900-000022010000}">
      <text>
        <r>
          <rPr>
            <sz val="8"/>
            <color indexed="81"/>
            <rFont val="Tahoma"/>
            <family val="2"/>
          </rPr>
          <t>If any T Posts are required then the measurements 
must be supplied under the next columns.
Measurements should be made from the left.</t>
        </r>
      </text>
    </comment>
    <comment ref="AC23" authorId="0" shapeId="0" xr:uid="{00000000-0006-0000-0900-000023010000}">
      <text>
        <r>
          <rPr>
            <sz val="8"/>
            <color indexed="81"/>
            <rFont val="Tahoma"/>
            <family val="2"/>
          </rPr>
          <t>If this field is left empty 
then 
No Fluffy Strip 
will be supplied.</t>
        </r>
      </text>
    </comment>
  </commentList>
</comments>
</file>

<file path=xl/sharedStrings.xml><?xml version="1.0" encoding="utf-8"?>
<sst xmlns="http://schemas.openxmlformats.org/spreadsheetml/2006/main" count="6009" uniqueCount="2356">
  <si>
    <t>STORE NAME:</t>
  </si>
  <si>
    <t>ACCOUNT NAME:</t>
  </si>
  <si>
    <t>Order Width</t>
  </si>
  <si>
    <t>Order Height</t>
  </si>
  <si>
    <t>Cut Out Height Left</t>
  </si>
  <si>
    <t>Cut Out Width Left</t>
  </si>
  <si>
    <t>Cut Out Height Right</t>
  </si>
  <si>
    <t>Cut Out Width Right</t>
  </si>
  <si>
    <t>Common Fascia Width</t>
  </si>
  <si>
    <t>Fittings</t>
  </si>
  <si>
    <t>Cord Lock</t>
  </si>
  <si>
    <t>Hold Downs</t>
  </si>
  <si>
    <t>Tilt</t>
  </si>
  <si>
    <t>Allowance</t>
  </si>
  <si>
    <t>Window Type</t>
  </si>
  <si>
    <t>Cut Out</t>
  </si>
  <si>
    <t>Fascia</t>
  </si>
  <si>
    <t>50mm Timber/Jarrah Blinds</t>
  </si>
  <si>
    <t>Timberwood Standard</t>
  </si>
  <si>
    <t>Eggshell (W-405)</t>
  </si>
  <si>
    <t>Recess Fit</t>
  </si>
  <si>
    <t>Left</t>
  </si>
  <si>
    <t>Yes</t>
  </si>
  <si>
    <t>NAM</t>
  </si>
  <si>
    <t>Straight</t>
  </si>
  <si>
    <t>None</t>
  </si>
  <si>
    <t>Standard</t>
  </si>
  <si>
    <t>Face Fit</t>
  </si>
  <si>
    <t>Right</t>
  </si>
  <si>
    <t>ACT</t>
  </si>
  <si>
    <t>White Gloss (A120)</t>
  </si>
  <si>
    <t>50mm PS Foam Blinds</t>
  </si>
  <si>
    <t>STYLE36</t>
  </si>
  <si>
    <t>STYLE36_LK</t>
  </si>
  <si>
    <t>COLOR36</t>
  </si>
  <si>
    <t>ORDERVAR36</t>
  </si>
  <si>
    <t>OPTIONGROUP36</t>
  </si>
  <si>
    <t>OPTIONGROUP36_LK</t>
  </si>
  <si>
    <t>Faux Wood Standard</t>
  </si>
  <si>
    <t>CAT_STYLE_36_8000</t>
  </si>
  <si>
    <t>Alabaster (A441)</t>
  </si>
  <si>
    <t>CAT_GROUP_35_2237</t>
  </si>
  <si>
    <t>STYLE37</t>
  </si>
  <si>
    <t>STYLE37_LK</t>
  </si>
  <si>
    <t>COLOR37</t>
  </si>
  <si>
    <t>ORDERVAR37</t>
  </si>
  <si>
    <t>OPTIONGROUP37</t>
  </si>
  <si>
    <t>OPTIONGROUP37_LK</t>
  </si>
  <si>
    <t>CAT_STYLE_37_8100</t>
  </si>
  <si>
    <t>Malt (A446)</t>
  </si>
  <si>
    <t>CAT_GROUP_35_2238</t>
  </si>
  <si>
    <t xml:space="preserve">63mm PS Blinds </t>
  </si>
  <si>
    <t>STYLE38</t>
  </si>
  <si>
    <t>STYLE38_LK</t>
  </si>
  <si>
    <t>COLOR38</t>
  </si>
  <si>
    <t>ORDERVAR38</t>
  </si>
  <si>
    <t>OPTIONGROUP38</t>
  </si>
  <si>
    <t>OPTIONGROUP38_LK</t>
  </si>
  <si>
    <t>CAT_STYLE_38_8000</t>
  </si>
  <si>
    <t>Pitch Black(A955)</t>
  </si>
  <si>
    <t>CAT_GROUP_35_2236</t>
  </si>
  <si>
    <t>Taos (A611)</t>
  </si>
  <si>
    <t>CAT_GROUP_35_2295</t>
  </si>
  <si>
    <t>Aluminum (A964)</t>
  </si>
  <si>
    <t>CAT_GROUP_35_2297</t>
  </si>
  <si>
    <t>Arctic Snow Embossed (PS103)</t>
  </si>
  <si>
    <t>CAT_GROUP_35_2317</t>
  </si>
  <si>
    <t>Ivory Embossed (PS207)</t>
  </si>
  <si>
    <t>CAT_GROUP_36_2277</t>
  </si>
  <si>
    <t>No</t>
  </si>
  <si>
    <t>Siena(PT06-350PS)</t>
  </si>
  <si>
    <t>CAT_GROUP_36_2278</t>
  </si>
  <si>
    <t>Desert(PT-06-02PS)</t>
  </si>
  <si>
    <t>CAT_GROUP_36_2280</t>
  </si>
  <si>
    <t>White (W-105)</t>
  </si>
  <si>
    <t>CAT_GROUP_36_2281</t>
  </si>
  <si>
    <t>Chestnut(PT-06-838)</t>
  </si>
  <si>
    <t>CAT_GROUP_36_2294</t>
  </si>
  <si>
    <t>Corner Butt</t>
  </si>
  <si>
    <t>CAT_GROUP_36_2299</t>
  </si>
  <si>
    <t>Corner Thru</t>
  </si>
  <si>
    <t>Cedar Image Medium (PT-03-2)</t>
  </si>
  <si>
    <t>CAT_GROUP_36_2315</t>
  </si>
  <si>
    <t>Bay A</t>
  </si>
  <si>
    <t>Cedar Image Dark (PT-03-3)</t>
  </si>
  <si>
    <t>CAT_GROUP_36_2313</t>
  </si>
  <si>
    <t>Bay B</t>
  </si>
  <si>
    <t>Gold (PT-06-1)</t>
  </si>
  <si>
    <t>CAT_GROUP_37_2290</t>
  </si>
  <si>
    <t>Bay C</t>
  </si>
  <si>
    <t>Cherry (PT-06-2)</t>
  </si>
  <si>
    <t>CAT_GROUP_37_2291</t>
  </si>
  <si>
    <t>Chocolate (PT-06-346)</t>
  </si>
  <si>
    <t>CAT_GROUP_37_2292</t>
  </si>
  <si>
    <t>Beech (PT-06-336)</t>
  </si>
  <si>
    <t>CAT_GROUP_37_2293</t>
  </si>
  <si>
    <t>Both</t>
  </si>
  <si>
    <t>Sugar Maple (PT-06-337)</t>
  </si>
  <si>
    <t>CAT_GROUP_37_2296</t>
  </si>
  <si>
    <t>Arctic Snow Plain (PS103-P)</t>
  </si>
  <si>
    <t>CAT_GROUP_37_2298</t>
  </si>
  <si>
    <t>Ivory Plain (PS207-P)</t>
  </si>
  <si>
    <t>CAT_GROUP_37_2316</t>
  </si>
  <si>
    <t>Sienna Plain Print(PT06-350PS)</t>
  </si>
  <si>
    <t>CAT_GROUP_37_2312</t>
  </si>
  <si>
    <t>CAT_GROUP_38_2300</t>
  </si>
  <si>
    <t>CAT_GROUP_38_2301</t>
  </si>
  <si>
    <t>CAT_GROUP_38_2302</t>
  </si>
  <si>
    <t>CAT_GROUP_38_2303</t>
  </si>
  <si>
    <t>CAT_GROUP_38_2304</t>
  </si>
  <si>
    <t>CAT_GROUP_38_2305</t>
  </si>
  <si>
    <t>CAT_GROUP_38_2314</t>
  </si>
  <si>
    <t>CAT_GROUP_38_2311</t>
  </si>
  <si>
    <t>Common</t>
  </si>
  <si>
    <t>Yellow White (A126)</t>
  </si>
  <si>
    <t>Navajo (A442)</t>
  </si>
  <si>
    <t>Spun Silk (A307)</t>
  </si>
  <si>
    <t>Vanilla (A445)</t>
  </si>
  <si>
    <t>Biscuit (A309)</t>
  </si>
  <si>
    <t>Fawn (A312)</t>
  </si>
  <si>
    <t>Garnet Red (A202)</t>
  </si>
  <si>
    <t>Forest Green (A553)</t>
  </si>
  <si>
    <t>True Blue (A614)</t>
  </si>
  <si>
    <t>Order Width</t>
    <phoneticPr fontId="21" type="noConversion"/>
  </si>
  <si>
    <t>Fittings</t>
    <phoneticPr fontId="21" type="noConversion"/>
  </si>
  <si>
    <t>CAT_GROUP_35_2234</t>
    <phoneticPr fontId="21" type="noConversion"/>
  </si>
  <si>
    <t>Recess Fit</t>
    <phoneticPr fontId="21" type="noConversion"/>
  </si>
  <si>
    <t>25mm Alum Blinds</t>
    <phoneticPr fontId="21" type="noConversion"/>
  </si>
  <si>
    <t>STYLE35</t>
    <phoneticPr fontId="21" type="noConversion"/>
  </si>
  <si>
    <t>STYLE35_LK</t>
    <phoneticPr fontId="21" type="noConversion"/>
  </si>
  <si>
    <t>COLOR35</t>
    <phoneticPr fontId="21" type="noConversion"/>
  </si>
  <si>
    <t>ORDERVAR35</t>
    <phoneticPr fontId="21" type="noConversion"/>
  </si>
  <si>
    <t>OPTIONGROUP35</t>
    <phoneticPr fontId="21" type="noConversion"/>
  </si>
  <si>
    <t>OPTIONGROUP35_LK</t>
    <phoneticPr fontId="21" type="noConversion"/>
  </si>
  <si>
    <t>Standard</t>
    <phoneticPr fontId="21" type="noConversion"/>
  </si>
  <si>
    <t>CAT_STYLE_35_1000</t>
    <phoneticPr fontId="21" type="noConversion"/>
  </si>
  <si>
    <t>True White (A127)</t>
  </si>
  <si>
    <t>Arctic Ice (A122)</t>
  </si>
  <si>
    <t>Peach White (A124)</t>
  </si>
  <si>
    <t>Camel(A310)</t>
    <phoneticPr fontId="21" type="noConversion"/>
  </si>
  <si>
    <t>Milk Chocolate(A818)</t>
    <phoneticPr fontId="26" type="noConversion"/>
  </si>
  <si>
    <t>CUSTOMER NAME:</t>
  </si>
  <si>
    <t>Page:</t>
  </si>
  <si>
    <t>DELIVERY ADDRESS:</t>
  </si>
  <si>
    <t>DATE:</t>
  </si>
  <si>
    <t>M2</t>
  </si>
  <si>
    <t>Item #</t>
  </si>
  <si>
    <t>Room
Location</t>
  </si>
  <si>
    <t>Gross Open Width</t>
  </si>
  <si>
    <t>Gross Open Height</t>
  </si>
  <si>
    <t>Blade Size</t>
  </si>
  <si>
    <t>Material</t>
  </si>
  <si>
    <t>Colour</t>
  </si>
  <si>
    <t>Mid Rail
Height</t>
  </si>
  <si>
    <t>Layout Code</t>
  </si>
  <si>
    <t>Mounting Method</t>
  </si>
  <si>
    <t>Hinge Colour</t>
  </si>
  <si>
    <t>Frame Type</t>
  </si>
  <si>
    <t>1st     
 T Post</t>
  </si>
  <si>
    <t>2nd 
T Post</t>
  </si>
  <si>
    <t>3rd    
 T Post</t>
  </si>
  <si>
    <t>Tiltrod Type</t>
  </si>
  <si>
    <t>m2</t>
  </si>
  <si>
    <t>General Notes</t>
  </si>
  <si>
    <t>Qty</t>
  </si>
  <si>
    <t>Fitting</t>
  </si>
  <si>
    <t>Bottom Rail Colour</t>
  </si>
  <si>
    <t>Chain Length</t>
  </si>
  <si>
    <t>Chain Colour</t>
  </si>
  <si>
    <t>Bracket Type</t>
  </si>
  <si>
    <t>SUPPLIER:</t>
  </si>
  <si>
    <t>PROMOTION NO.:</t>
  </si>
  <si>
    <t>PRODUCT SUMMARY PAGE</t>
  </si>
  <si>
    <t>PRODUCT - INTERNAL</t>
  </si>
  <si>
    <t>TAB COLOUR</t>
  </si>
  <si>
    <t>Roller Blinds</t>
  </si>
  <si>
    <t>Red</t>
  </si>
  <si>
    <t>Shutters</t>
  </si>
  <si>
    <t>QTY ORDERED</t>
  </si>
  <si>
    <t>Green</t>
  </si>
  <si>
    <t>Orange</t>
  </si>
  <si>
    <t>Product</t>
  </si>
  <si>
    <t>Finish</t>
  </si>
  <si>
    <t>Hold Down</t>
  </si>
  <si>
    <t>25mm Aluminium Blinds</t>
  </si>
  <si>
    <t>Track Colour</t>
  </si>
  <si>
    <t>Pelmet Insert</t>
  </si>
  <si>
    <t>Vertical Blinds</t>
  </si>
  <si>
    <t>Yellow</t>
  </si>
  <si>
    <t>Universal Pelmet</t>
  </si>
  <si>
    <t>Pelmet Colour</t>
  </si>
  <si>
    <t>Bottom Weight</t>
  </si>
  <si>
    <t>PHONE:</t>
  </si>
  <si>
    <t>EMAIL TO:</t>
  </si>
  <si>
    <t>ENQUIRIES:</t>
  </si>
  <si>
    <t>Butt / Thru Blind</t>
  </si>
  <si>
    <t>Measurements (mm)</t>
  </si>
  <si>
    <t>A</t>
  </si>
  <si>
    <t>B</t>
  </si>
  <si>
    <t>Drop</t>
  </si>
  <si>
    <t>C</t>
  </si>
  <si>
    <t>D</t>
  </si>
  <si>
    <t>E</t>
  </si>
  <si>
    <t>Special Comments</t>
  </si>
  <si>
    <t>Fabric &amp; Colour</t>
  </si>
  <si>
    <t>Overroll Or Standard</t>
  </si>
  <si>
    <t>MS,  In Or Out</t>
  </si>
  <si>
    <t>YES / NO</t>
  </si>
  <si>
    <t>PACIFIC SALES COORDINATOR</t>
  </si>
  <si>
    <t xml:space="preserve">Side Winder Bracket Colour </t>
  </si>
  <si>
    <t>Fax: +61 2 9680 7488</t>
  </si>
  <si>
    <t>VERTICAL COLOURS</t>
  </si>
  <si>
    <t>London</t>
  </si>
  <si>
    <t>Maui</t>
  </si>
  <si>
    <t>Paris</t>
  </si>
  <si>
    <t>Sunscreen</t>
  </si>
  <si>
    <t>ROLLER BLINDS</t>
  </si>
  <si>
    <t>Roller Blind Product</t>
  </si>
  <si>
    <t xml:space="preserve">89mm Black </t>
  </si>
  <si>
    <t>89mm Ivory</t>
  </si>
  <si>
    <t>89mm White</t>
  </si>
  <si>
    <t>Tube</t>
  </si>
  <si>
    <t>Helper Spring</t>
  </si>
  <si>
    <t>Tube38mm</t>
  </si>
  <si>
    <t>Tube45mm</t>
  </si>
  <si>
    <t>&gt;2130 Width</t>
  </si>
  <si>
    <t>&gt;2100 Drop</t>
  </si>
  <si>
    <t>Fauxwood</t>
  </si>
  <si>
    <t>Cedar Image Medium PT-03-2</t>
  </si>
  <si>
    <t>CUSTOMER / ACCOUNT NAME:</t>
  </si>
  <si>
    <t>WindowType</t>
  </si>
  <si>
    <t>Side By Side</t>
  </si>
  <si>
    <t>Corner A Butt</t>
  </si>
  <si>
    <t>Corner A Thru</t>
  </si>
  <si>
    <t>Corner B Butt</t>
  </si>
  <si>
    <t>Corner B Thru</t>
  </si>
  <si>
    <t>AlumColours</t>
  </si>
  <si>
    <t>London Biscuit</t>
  </si>
  <si>
    <t>London Linen</t>
  </si>
  <si>
    <t>London Natural</t>
  </si>
  <si>
    <t>Maui Espresso</t>
  </si>
  <si>
    <t>Maui Latte</t>
  </si>
  <si>
    <t>Maui Off White</t>
  </si>
  <si>
    <t>Maui Pebble</t>
  </si>
  <si>
    <t>Maui Sand</t>
  </si>
  <si>
    <t>Paris Coconut</t>
  </si>
  <si>
    <t>Paris Corn Silk</t>
  </si>
  <si>
    <t>Paris Ice</t>
  </si>
  <si>
    <t>Paris Orient</t>
  </si>
  <si>
    <t>Paris Stone</t>
  </si>
  <si>
    <t>Paris Syllabub</t>
  </si>
  <si>
    <t>Paris Whisper</t>
  </si>
  <si>
    <t>Alabaster A441</t>
  </si>
  <si>
    <t>Arctic Ice A122</t>
  </si>
  <si>
    <t>Biscuit A309</t>
  </si>
  <si>
    <t>Camel A310</t>
  </si>
  <si>
    <t>Fawn A312</t>
  </si>
  <si>
    <t>Forest Green A553</t>
  </si>
  <si>
    <t>Garnet Red A202</t>
  </si>
  <si>
    <t>Malt A446</t>
  </si>
  <si>
    <t>Milk Chocolate A818</t>
  </si>
  <si>
    <t>Navajo A442</t>
  </si>
  <si>
    <t>Peach White A124</t>
  </si>
  <si>
    <t>Pitch Black A955</t>
  </si>
  <si>
    <t>Spun Silk A307</t>
  </si>
  <si>
    <t>True Blue A614</t>
  </si>
  <si>
    <t>True White A127</t>
  </si>
  <si>
    <t>Vanilla A445</t>
  </si>
  <si>
    <t>White Gloss A120</t>
  </si>
  <si>
    <t>Yellow White A126</t>
  </si>
  <si>
    <t>Illusion Mocha V314</t>
  </si>
  <si>
    <t>Illusion Harvest V450</t>
  </si>
  <si>
    <t>Illusion White V187</t>
  </si>
  <si>
    <t>Illusion Alabaster V484</t>
  </si>
  <si>
    <t>Illusion Vanilla V303</t>
  </si>
  <si>
    <t>Illusion Ivory V403</t>
  </si>
  <si>
    <t>PSColours50mm</t>
  </si>
  <si>
    <t>50mm Ivory Plain PS207-P</t>
  </si>
  <si>
    <t>50mm Off White V286</t>
  </si>
  <si>
    <t>50mm Sienna PT06-350PS</t>
  </si>
  <si>
    <t>50mm White V186</t>
  </si>
  <si>
    <t>PSColours63mm</t>
  </si>
  <si>
    <t>63mm Arctic Snow Plain PS103-P</t>
  </si>
  <si>
    <t>63mm Antique White V140</t>
  </si>
  <si>
    <t>63mm Ivory Plain PS207-P</t>
  </si>
  <si>
    <t>63mm Off White V286</t>
  </si>
  <si>
    <t>63mm Sienna Plain PT06-350PS</t>
  </si>
  <si>
    <t>63mm White V186</t>
  </si>
  <si>
    <t>TimberColours50mm</t>
  </si>
  <si>
    <t>Beech PT-06-336</t>
  </si>
  <si>
    <t>Cedar Image Dark PT-03-3</t>
  </si>
  <si>
    <t>Cherry PT-06-2</t>
  </si>
  <si>
    <t>Chestnut PT-06-838</t>
  </si>
  <si>
    <t>Chocolate PT-06-346</t>
  </si>
  <si>
    <t>Eggshell W-405</t>
  </si>
  <si>
    <t>Gold PT-06-1</t>
  </si>
  <si>
    <t>Sugar Maple PT-06-337</t>
  </si>
  <si>
    <t>White W-105</t>
  </si>
  <si>
    <t>ShutterMaterial</t>
  </si>
  <si>
    <t>Fauxwood Blockout</t>
  </si>
  <si>
    <t>Hinged</t>
  </si>
  <si>
    <t>Double Hinged</t>
  </si>
  <si>
    <t>Track Bi Fold</t>
  </si>
  <si>
    <t>Sliding</t>
  </si>
  <si>
    <t>Fixed</t>
  </si>
  <si>
    <t>MountingMethod</t>
  </si>
  <si>
    <t>No Frame</t>
  </si>
  <si>
    <t>Hanging Strip</t>
  </si>
  <si>
    <t>Small F/F L Frame</t>
  </si>
  <si>
    <t>Bullnose Z Frame</t>
  </si>
  <si>
    <t>Large Z Frame</t>
  </si>
  <si>
    <t>U Channel</t>
  </si>
  <si>
    <t>100mm</t>
  </si>
  <si>
    <t>220mm</t>
  </si>
  <si>
    <t>180mm</t>
  </si>
  <si>
    <t>FrameType</t>
  </si>
  <si>
    <t>Small L Frame</t>
  </si>
  <si>
    <t>Medium L Frame</t>
  </si>
  <si>
    <t>Medium F/F L Frame</t>
  </si>
  <si>
    <t>Large F/F L Frame</t>
  </si>
  <si>
    <t>Standard Z Frame</t>
  </si>
  <si>
    <t>Hinge</t>
  </si>
  <si>
    <t>White</t>
  </si>
  <si>
    <t>Eggshell</t>
  </si>
  <si>
    <t>Brass</t>
  </si>
  <si>
    <t>Nickel</t>
  </si>
  <si>
    <t>Stainless Steel</t>
  </si>
  <si>
    <t>Off White</t>
  </si>
  <si>
    <t>Antique White</t>
  </si>
  <si>
    <t>Jasper</t>
  </si>
  <si>
    <t>Mocha</t>
  </si>
  <si>
    <t>Antique Brass</t>
  </si>
  <si>
    <t>N/A</t>
  </si>
  <si>
    <t>Material Aluminium Insert</t>
  </si>
  <si>
    <t>FauxwoodY</t>
  </si>
  <si>
    <t>FauxwoodBlockoutN</t>
  </si>
  <si>
    <t>Link - Operate Separately, 38mm Tube</t>
  </si>
  <si>
    <t>Link - Operate Together, 38mm Tube</t>
  </si>
  <si>
    <t>Double (Standard), 38mm Tube</t>
  </si>
  <si>
    <t>Double (Slimline), 38mm Tube</t>
  </si>
  <si>
    <t>Double Link - Operate Separately (Standard), 38mm Tube</t>
  </si>
  <si>
    <t>Double Link - Operate Separately (Slimline), 38mm Tube</t>
  </si>
  <si>
    <t>Double Link - Operate Together (Standard), 38mm Tube</t>
  </si>
  <si>
    <t>Double Link - Operate Together (Slimline), 38mm Tube</t>
  </si>
  <si>
    <t>Link - Operate Separately, 45mm Tube</t>
  </si>
  <si>
    <t>Link - Operate Together, 45mm Tube</t>
  </si>
  <si>
    <t>Double (Slimline), 45mm Tube</t>
  </si>
  <si>
    <t>Double Link - Operate Separately (Standard), 45mm Tube</t>
  </si>
  <si>
    <t>Double Link - Operate Together (Standard), 45mm Tube</t>
  </si>
  <si>
    <t>Tiltrod</t>
  </si>
  <si>
    <t>Centre</t>
  </si>
  <si>
    <t>Off-Set</t>
  </si>
  <si>
    <t>Hidden</t>
  </si>
  <si>
    <t>Rack &amp; Pinion</t>
  </si>
  <si>
    <t>Large L Frame</t>
  </si>
  <si>
    <t>Left Frame</t>
  </si>
  <si>
    <t>Right Frame</t>
  </si>
  <si>
    <t>Top Frame</t>
  </si>
  <si>
    <t>63mm PS Privacy Blind</t>
  </si>
  <si>
    <t>63mm PS Blind</t>
  </si>
  <si>
    <t>50mm PS Blind</t>
  </si>
  <si>
    <t>50mm PS Privacy Blind</t>
  </si>
  <si>
    <t>PS50mm</t>
  </si>
  <si>
    <t>PS63mm</t>
  </si>
  <si>
    <t>Extenstion Bracket</t>
  </si>
  <si>
    <t>Extension Bracket Quantity</t>
  </si>
  <si>
    <t>London Dune</t>
  </si>
  <si>
    <t>London Dusk</t>
  </si>
  <si>
    <t>London Onyx</t>
  </si>
  <si>
    <t>London White Talc</t>
  </si>
  <si>
    <t>FACE</t>
  </si>
  <si>
    <t>FRONT MEASURE</t>
  </si>
  <si>
    <t>RECESS</t>
  </si>
  <si>
    <t>BACK MEASURE</t>
  </si>
  <si>
    <t>Bottom Frame/
Track</t>
  </si>
  <si>
    <t>Sliding Open Or Closed</t>
  </si>
  <si>
    <t>Midrail</t>
  </si>
  <si>
    <t>Black</t>
  </si>
  <si>
    <t>Aqua</t>
  </si>
  <si>
    <t>Tan</t>
  </si>
  <si>
    <t>CMB Corner Worksheet</t>
  </si>
  <si>
    <t>CMB Bay Worksheet</t>
  </si>
  <si>
    <t>CMB CORNER WORKSHEET</t>
  </si>
  <si>
    <t>CMB BAY WORKSHEET</t>
  </si>
  <si>
    <t>PVC 89mm</t>
  </si>
  <si>
    <t>Fabric 127mm</t>
  </si>
  <si>
    <t>Chainless</t>
  </si>
  <si>
    <t>Track On Board</t>
  </si>
  <si>
    <t>Track In Board</t>
  </si>
  <si>
    <t>BottomFrameTrack</t>
  </si>
  <si>
    <t>Light Stop</t>
  </si>
  <si>
    <t>Floor Guide</t>
  </si>
  <si>
    <t>Track Only</t>
  </si>
  <si>
    <t>Z Sill Frame</t>
  </si>
  <si>
    <t>1 Of 1</t>
  </si>
  <si>
    <t>Panel Width</t>
  </si>
  <si>
    <t>Panel Width Check</t>
  </si>
  <si>
    <t>Panel Height Check</t>
  </si>
  <si>
    <t>Tiltrod Required</t>
  </si>
  <si>
    <t>FauxwoodT</t>
  </si>
  <si>
    <t>FauxwoodBlockoutT</t>
  </si>
  <si>
    <t>Aluminium Inserts Highlight</t>
  </si>
  <si>
    <t>HoldDown</t>
  </si>
  <si>
    <t xml:space="preserve">No </t>
  </si>
  <si>
    <t>Oval Bottom Rail</t>
  </si>
  <si>
    <t>Sewn In Pocket</t>
  </si>
  <si>
    <t>White Birch</t>
  </si>
  <si>
    <t>Metallic Black</t>
  </si>
  <si>
    <t>Clear Anodised</t>
  </si>
  <si>
    <t>Ivory</t>
  </si>
  <si>
    <t>VerticalPelmentYes</t>
  </si>
  <si>
    <t>VerticalPelmentNo</t>
  </si>
  <si>
    <t>Sunscreen Linen N201</t>
  </si>
  <si>
    <t>Sunscreen Ivory N091</t>
  </si>
  <si>
    <t>Stack 
(Wands Only - No Cord)</t>
  </si>
  <si>
    <t>Phone: +61 2 8850 9301</t>
  </si>
  <si>
    <t>Pacific Wholesale Distributors. Tel. +61 2 9680 7999 (Reception)</t>
  </si>
  <si>
    <t>FauxwoodRPNo</t>
  </si>
  <si>
    <t>FauxwoodRP</t>
  </si>
  <si>
    <t>Layout Code Check</t>
  </si>
  <si>
    <t>LR</t>
  </si>
  <si>
    <t>L</t>
  </si>
  <si>
    <t>R</t>
  </si>
  <si>
    <t>Aluminium Insert Blade Size Check</t>
  </si>
  <si>
    <t>FauxwoodAI</t>
  </si>
  <si>
    <t>FauxwoodAINo</t>
  </si>
  <si>
    <t>Check T Post &amp; Layout Code</t>
  </si>
  <si>
    <t>Check 1st T Post</t>
  </si>
  <si>
    <t>Check 2nd T Post</t>
  </si>
  <si>
    <t>Check 3rd T Post</t>
  </si>
  <si>
    <t xml:space="preserve">Paris White </t>
  </si>
  <si>
    <t>Paris Soft White</t>
  </si>
  <si>
    <t>Paris Essence</t>
  </si>
  <si>
    <t>Paris Champagne</t>
  </si>
  <si>
    <t>Paris Natural</t>
  </si>
  <si>
    <t>Paris Fawn</t>
  </si>
  <si>
    <t>Paris Camel</t>
  </si>
  <si>
    <t>Paris Ashmere</t>
  </si>
  <si>
    <t>Paris Ash Grey</t>
  </si>
  <si>
    <t>Paris Turquoise</t>
  </si>
  <si>
    <t>Paris Pacific Blue</t>
  </si>
  <si>
    <t>Paris Scarlet</t>
  </si>
  <si>
    <t>Paris Hazelnut</t>
  </si>
  <si>
    <t>Paris Cocoa</t>
  </si>
  <si>
    <t>Paris Burnt Sienna</t>
  </si>
  <si>
    <t>Paris Slate</t>
  </si>
  <si>
    <t>Paris Black</t>
  </si>
  <si>
    <t>Fabric 89mm</t>
  </si>
  <si>
    <t>Slat/Fabric Width</t>
  </si>
  <si>
    <t>Fabric/Slat Width</t>
  </si>
  <si>
    <t>Hinge Quantity</t>
  </si>
  <si>
    <t>Check Combo Panels</t>
  </si>
  <si>
    <t>SALES ORDER NO.:</t>
  </si>
  <si>
    <t>PWD ORDER NO.:</t>
  </si>
  <si>
    <t>PVC_89mm</t>
  </si>
  <si>
    <t>Fabric_89mm</t>
  </si>
  <si>
    <t>Fabric_127mm</t>
  </si>
  <si>
    <t>Check T &amp; Layout Code</t>
  </si>
  <si>
    <t>Check C Or B Layout Code</t>
  </si>
  <si>
    <t>VerticalTrack</t>
  </si>
  <si>
    <t>PVC89mm</t>
  </si>
  <si>
    <t>Fabric89mm</t>
  </si>
  <si>
    <t>Fabric127mm</t>
  </si>
  <si>
    <t>BBFF</t>
  </si>
  <si>
    <t>BBFFFFBB</t>
  </si>
  <si>
    <t>BBMMFF</t>
  </si>
  <si>
    <t>BF</t>
  </si>
  <si>
    <t>BFB</t>
  </si>
  <si>
    <t>BFFB</t>
  </si>
  <si>
    <t>BMF</t>
  </si>
  <si>
    <t>BMFFMB</t>
  </si>
  <si>
    <t>F</t>
  </si>
  <si>
    <t>FB</t>
  </si>
  <si>
    <t>FBBF</t>
  </si>
  <si>
    <t>FBF</t>
  </si>
  <si>
    <t>FBFB</t>
  </si>
  <si>
    <t>FF</t>
  </si>
  <si>
    <t>FFF</t>
  </si>
  <si>
    <t>FMB</t>
  </si>
  <si>
    <t>LBLRBR</t>
  </si>
  <si>
    <t>LBLTRBR</t>
  </si>
  <si>
    <t>LCLRCR</t>
  </si>
  <si>
    <t>LCLTRCR</t>
  </si>
  <si>
    <t>LCR</t>
  </si>
  <si>
    <t>LL</t>
  </si>
  <si>
    <t>LLLL</t>
  </si>
  <si>
    <t>LLLLLL</t>
  </si>
  <si>
    <t>LLLLLLLL</t>
  </si>
  <si>
    <t>LLLLRR</t>
  </si>
  <si>
    <t>LLLLRRR</t>
  </si>
  <si>
    <t>LLLLRRRR</t>
  </si>
  <si>
    <t>LLR</t>
  </si>
  <si>
    <t>LLRR</t>
  </si>
  <si>
    <t>LLRRRR</t>
  </si>
  <si>
    <t>LLTRR</t>
  </si>
  <si>
    <t>LRR</t>
  </si>
  <si>
    <t>LRTLR</t>
  </si>
  <si>
    <t>LRTLRTLR</t>
  </si>
  <si>
    <t>LRTR</t>
  </si>
  <si>
    <t>LTLR</t>
  </si>
  <si>
    <t>LTLRTR</t>
  </si>
  <si>
    <t>LTLRTRTLTLRTR</t>
  </si>
  <si>
    <t>LTLTL</t>
  </si>
  <si>
    <t>LTLTR</t>
  </si>
  <si>
    <t>LTR</t>
  </si>
  <si>
    <t>LTRTR</t>
  </si>
  <si>
    <t>RR</t>
  </si>
  <si>
    <t>RRRR</t>
  </si>
  <si>
    <t>RRRRRR</t>
  </si>
  <si>
    <t>RTRTR</t>
  </si>
  <si>
    <t>LRTL</t>
  </si>
  <si>
    <t>RRTL</t>
  </si>
  <si>
    <t>LLTR</t>
  </si>
  <si>
    <t>LTRR</t>
  </si>
  <si>
    <t>RTLL</t>
  </si>
  <si>
    <t>LTLRTLRTR</t>
  </si>
  <si>
    <t>LLLLLLRR</t>
  </si>
  <si>
    <t>LLRRRRRR</t>
  </si>
  <si>
    <t>BB</t>
  </si>
  <si>
    <t>FFBB</t>
  </si>
  <si>
    <t>FMMB</t>
  </si>
  <si>
    <t>BMMF</t>
  </si>
  <si>
    <t>FFBBBBFF</t>
  </si>
  <si>
    <t>FFMMBB</t>
  </si>
  <si>
    <t>FMBBMF</t>
  </si>
  <si>
    <t>LBR</t>
  </si>
  <si>
    <t>LBL</t>
  </si>
  <si>
    <t>RBR</t>
  </si>
  <si>
    <t>LBLR</t>
  </si>
  <si>
    <t>RBLR</t>
  </si>
  <si>
    <t>LRBL</t>
  </si>
  <si>
    <t>LRBR</t>
  </si>
  <si>
    <t xml:space="preserve">LRBLR </t>
  </si>
  <si>
    <t>LTRBLTR</t>
  </si>
  <si>
    <t>LRBLRBLR</t>
  </si>
  <si>
    <t>LBLRTLRBR</t>
  </si>
  <si>
    <t>LBLTLRTRBR</t>
  </si>
  <si>
    <t>LRCLRCLR</t>
  </si>
  <si>
    <t>LCLRTLRCR</t>
  </si>
  <si>
    <t>LTRCLTRCLTR</t>
  </si>
  <si>
    <t>LCLRTLRTLRCR</t>
  </si>
  <si>
    <t>LRCLTLRTRCLR</t>
  </si>
  <si>
    <t>LayoutCodes</t>
  </si>
  <si>
    <t>Illusion Alabaster (V484)</t>
  </si>
  <si>
    <t>Illusion Harvest (V450)</t>
  </si>
  <si>
    <t>Illusion Ivory (V403)</t>
  </si>
  <si>
    <t>Illusion Mocha (V314)</t>
  </si>
  <si>
    <t>Illusion Vanilla (V303)</t>
  </si>
  <si>
    <t>Illusion White (V187)</t>
  </si>
  <si>
    <t>White (F186)</t>
  </si>
  <si>
    <t>Off White (F286)</t>
  </si>
  <si>
    <t>Antique White (F140)</t>
  </si>
  <si>
    <t>White (W105)</t>
  </si>
  <si>
    <t>Eggshell (W405)</t>
  </si>
  <si>
    <t>Antique White (W140)</t>
  </si>
  <si>
    <t>Jasper (W498)</t>
  </si>
  <si>
    <t>Mocha (W811)</t>
  </si>
  <si>
    <t>Dark Chestnut (PT-06-7)</t>
  </si>
  <si>
    <t>Coffee (W890)</t>
  </si>
  <si>
    <t>Walnut (W891)</t>
  </si>
  <si>
    <t>Maple (W893)</t>
  </si>
  <si>
    <t>Dark Cherry (W894)</t>
  </si>
  <si>
    <t>Mahogany (W306)</t>
  </si>
  <si>
    <t>Black Walnut (W920)</t>
  </si>
  <si>
    <t>Hinged_BFT</t>
  </si>
  <si>
    <t>Double_Hinged_BFT</t>
  </si>
  <si>
    <t>Track_Bi_Fold_BFT</t>
  </si>
  <si>
    <t>Sliding_BFT</t>
  </si>
  <si>
    <t>Fixed_BFT</t>
  </si>
  <si>
    <t>Pivot_Hinged_BFT</t>
  </si>
  <si>
    <t>Hinged_TF</t>
  </si>
  <si>
    <t>Double_Hinged_TF</t>
  </si>
  <si>
    <t>Track_Bi_Fold_TF</t>
  </si>
  <si>
    <t>Sliding_TF</t>
  </si>
  <si>
    <t>Fixed_TF</t>
  </si>
  <si>
    <t>Pivot_Hinged_TF</t>
  </si>
  <si>
    <t>Bottom Fame/Track</t>
  </si>
  <si>
    <t>140mm</t>
  </si>
  <si>
    <t>Hinge Quantity Fauxwood</t>
  </si>
  <si>
    <t>Hinge Quantity Basswood</t>
  </si>
  <si>
    <t>Double Hinged Check</t>
  </si>
  <si>
    <t>Width Check</t>
  </si>
  <si>
    <t>Fauxwood Panel With Check</t>
  </si>
  <si>
    <t>114mm</t>
  </si>
  <si>
    <t>Panels</t>
  </si>
  <si>
    <t>Fluffy Strip</t>
  </si>
  <si>
    <t>Bay Window</t>
  </si>
  <si>
    <t>Corner Window</t>
  </si>
  <si>
    <t>Door Cut Out</t>
  </si>
  <si>
    <t>Shaped Arch</t>
  </si>
  <si>
    <t>Shaped Hexagon</t>
  </si>
  <si>
    <t>Shaped Octagon</t>
  </si>
  <si>
    <t>Shaped Round</t>
  </si>
  <si>
    <t>Shaped Sunburst</t>
  </si>
  <si>
    <t>Shaped Triangle</t>
  </si>
  <si>
    <t>French Door</t>
  </si>
  <si>
    <t>Special_Window</t>
  </si>
  <si>
    <t>Split Tiltrod In Half</t>
  </si>
  <si>
    <t>Combo Panels</t>
  </si>
  <si>
    <t>All Even Panels</t>
  </si>
  <si>
    <t>No Centre Stiles</t>
  </si>
  <si>
    <t>Smallest Possible Top &amp; Bottom Rails</t>
  </si>
  <si>
    <t>Split Tiltrod In Half Above Midrail</t>
  </si>
  <si>
    <t>Split Tiltrod In Half Below Midrail</t>
  </si>
  <si>
    <t>Maximum Blades Possible</t>
  </si>
  <si>
    <t>Centre Stiles</t>
  </si>
  <si>
    <t>Special_Comments_1</t>
  </si>
  <si>
    <t>Special_Comments_2</t>
  </si>
  <si>
    <t>63mm</t>
  </si>
  <si>
    <t>89mm</t>
  </si>
  <si>
    <t>Fauxwood_Blade</t>
  </si>
  <si>
    <t>Fauxwood_Blockout_Blade</t>
  </si>
  <si>
    <t>Special Window</t>
  </si>
  <si>
    <t>Colour Check</t>
  </si>
  <si>
    <t>114mm Colour Check</t>
  </si>
  <si>
    <t>OK</t>
  </si>
  <si>
    <t>Blade Size Check</t>
  </si>
  <si>
    <t>Frame Entry Check</t>
  </si>
  <si>
    <t>Additional Fascia 100mm x 9.5mm</t>
  </si>
  <si>
    <t>Additional Fascia 140mm x 9.5mm</t>
  </si>
  <si>
    <t>Additional Fascia 60mm x 9.5mm</t>
  </si>
  <si>
    <t>Additional Headboard 100mm x 19mm</t>
  </si>
  <si>
    <t>Additional Headboard 180mm x 19mm</t>
  </si>
  <si>
    <t>Additional Headboard 220mm x 19mm</t>
  </si>
  <si>
    <t>Hanging Strip 35mm x 28.6mm</t>
  </si>
  <si>
    <t>Large Face Fit L Frame</t>
  </si>
  <si>
    <t>Light Stop 19mm x 19mm</t>
  </si>
  <si>
    <t>Light Stop 19mm x 30mm</t>
  </si>
  <si>
    <t>Light Stop 19mm x 9.5mm</t>
  </si>
  <si>
    <t>Light Stop 20mm x 5mm</t>
  </si>
  <si>
    <t>Light Stop 31.8mm x 9.5mm</t>
  </si>
  <si>
    <t>Light Stop 40mm x 30mm</t>
  </si>
  <si>
    <t>Light Stop 50mm x 30mm</t>
  </si>
  <si>
    <t>Medium Face Fit L Frame</t>
  </si>
  <si>
    <t>Mounting Block 18mm x 18mm</t>
  </si>
  <si>
    <t>Mounting Block 30mm x 30mm</t>
  </si>
  <si>
    <t>Small Face Fit L Frame</t>
  </si>
  <si>
    <t>T Post</t>
  </si>
  <si>
    <t>Tracking For Bi Fold &amp; Sliding Shutters</t>
  </si>
  <si>
    <t>U Channel 40mm x 15mm</t>
  </si>
  <si>
    <t>U Channel 40mm x 25mm</t>
  </si>
  <si>
    <t>Extras</t>
  </si>
  <si>
    <t>Standard Special Comments # 1</t>
  </si>
  <si>
    <t>Standard Special Comments # 2</t>
  </si>
  <si>
    <t>Hinged_Frame_Type</t>
  </si>
  <si>
    <t>Sliding_Frame_Type</t>
  </si>
  <si>
    <t>Fixed_Frame_Type</t>
  </si>
  <si>
    <t>Double_Hinged_Frame_Type</t>
  </si>
  <si>
    <t>Track_Bi_Fold_Frame_Type</t>
  </si>
  <si>
    <t>Z Frame Check</t>
  </si>
  <si>
    <t>Highlight Out &amp; Z Frame</t>
  </si>
  <si>
    <t>Layout Code Count</t>
  </si>
  <si>
    <t>Layout Code Check Count</t>
  </si>
  <si>
    <t>Error Layout Code</t>
  </si>
  <si>
    <t>Order Requirements Alert</t>
  </si>
  <si>
    <t>Bay Window Diagram Must Be Supplied</t>
  </si>
  <si>
    <t>Corner Window Diagram Must Be Supplied</t>
  </si>
  <si>
    <t>Cut-Out Template Must Be Supplied</t>
  </si>
  <si>
    <t>Check Special Window For Alert</t>
  </si>
  <si>
    <t>Bay Check</t>
  </si>
  <si>
    <t>Corner Check</t>
  </si>
  <si>
    <t>Shape Check</t>
  </si>
  <si>
    <t>Template Check</t>
  </si>
  <si>
    <t>Drawing/Diagram Must Be Supplied</t>
  </si>
  <si>
    <t>Bi Fold Bracket</t>
  </si>
  <si>
    <t>Bumper Stops</t>
  </si>
  <si>
    <t>D Mold</t>
  </si>
  <si>
    <t>Divider Rail/Mid Rail (Centre Rail), 79mm x 20.5mm</t>
  </si>
  <si>
    <t>Fluffy Strips</t>
  </si>
  <si>
    <t>Herman Joints</t>
  </si>
  <si>
    <t>Hidden Tiltrod, 114mm</t>
  </si>
  <si>
    <t>Hidden Tiltrod, 63mm</t>
  </si>
  <si>
    <t>Hidden Tiltrod, 89mm</t>
  </si>
  <si>
    <t>Hinge Packers</t>
  </si>
  <si>
    <t>Hinge Pin</t>
  </si>
  <si>
    <t>Magnet Sets Round</t>
  </si>
  <si>
    <t>Magnets &amp; Catches</t>
  </si>
  <si>
    <t>Patented Pinion Rack 89mm, 30cm</t>
  </si>
  <si>
    <t>Pinion, Pin &amp; Washer</t>
  </si>
  <si>
    <t>Pivot Hinges, Left &amp; Right Sides</t>
  </si>
  <si>
    <t>Pivots</t>
  </si>
  <si>
    <t>Plugs</t>
  </si>
  <si>
    <t>Ramp Cap</t>
  </si>
  <si>
    <t>Screw</t>
  </si>
  <si>
    <t>Shutter Tiltrod</t>
  </si>
  <si>
    <t>Slider Bracket, White</t>
  </si>
  <si>
    <t>Slider Wheels</t>
  </si>
  <si>
    <t>Spanner</t>
  </si>
  <si>
    <t>Spring Pins</t>
  </si>
  <si>
    <t>Stainless Steel Hinges</t>
  </si>
  <si>
    <t>Standard Hinges</t>
  </si>
  <si>
    <t>Stepped Hinges</t>
  </si>
  <si>
    <t>Stile</t>
  </si>
  <si>
    <t>Stile With Rebate &amp; Insert, 50.8mm x 27mm</t>
  </si>
  <si>
    <t>Stile With Rebate &amp; Rabbet</t>
  </si>
  <si>
    <t>Top Bracket</t>
  </si>
  <si>
    <t>Additional Fascia 100mm x 9.5mm Material</t>
  </si>
  <si>
    <t>Additional Fascia 140mm x 9.5mm Material</t>
  </si>
  <si>
    <t>Additional Fascia 60mm x 9.5mm Material</t>
  </si>
  <si>
    <t>Additional Headboard 100mm x 19mm Material</t>
  </si>
  <si>
    <t>Additional Headboard 180mm x 19mm Material</t>
  </si>
  <si>
    <t>Additional Headboard 220mm x 19mm Material</t>
  </si>
  <si>
    <t>Bullnose Z Frame Material</t>
  </si>
  <si>
    <t>Hanging Strip 35mm x 28.6mm Material</t>
  </si>
  <si>
    <t>Large Face Fit L Frame Material</t>
  </si>
  <si>
    <t>Large Z Frame Material</t>
  </si>
  <si>
    <t>Light Stop 19mm x 19mm Material</t>
  </si>
  <si>
    <t>Light Stop 19mm x 30mm Material</t>
  </si>
  <si>
    <t>Light Stop 19mm x 9.5mm Material</t>
  </si>
  <si>
    <t>Light Stop 20mm x 5mm Material</t>
  </si>
  <si>
    <t>Light Stop 31.8mm x 9.5mm Material</t>
  </si>
  <si>
    <t>Light Stop 40mm x 30mm Material</t>
  </si>
  <si>
    <t>Light Stop 50mm x 30mm Material</t>
  </si>
  <si>
    <t>Medium Face Fit L Frame Material</t>
  </si>
  <si>
    <t>Medium L Frame Material</t>
  </si>
  <si>
    <t>Mounting Block 18mm x 18mm Material</t>
  </si>
  <si>
    <t>Mounting Block 30mm x 30mm Material</t>
  </si>
  <si>
    <t>Small Face Fit L Frame Material</t>
  </si>
  <si>
    <t>Small L Frame Material</t>
  </si>
  <si>
    <t>T Post Material</t>
  </si>
  <si>
    <t>U Channel 40mm x 15mm Material</t>
  </si>
  <si>
    <t>U Channel 40mm x 25mm Material</t>
  </si>
  <si>
    <t>Z Sill Frame Material</t>
  </si>
  <si>
    <t>This is designed to begin at the left and work towards the right as options will change based on selections</t>
  </si>
  <si>
    <t>Left Panel Open First</t>
  </si>
  <si>
    <t>Mandatory Fields</t>
  </si>
  <si>
    <t>Quantity</t>
  </si>
  <si>
    <t>Hardware</t>
  </si>
  <si>
    <t>Extra's</t>
  </si>
  <si>
    <t>Check Frame Deduction</t>
  </si>
  <si>
    <t>Check In/Out MS</t>
  </si>
  <si>
    <t>Calculation</t>
  </si>
  <si>
    <t>Multiplier</t>
  </si>
  <si>
    <t>Length</t>
  </si>
  <si>
    <t>AntiqueWhiteF140</t>
  </si>
  <si>
    <t>OffWhiteF286</t>
  </si>
  <si>
    <t>WhiteF186</t>
  </si>
  <si>
    <t>BlackWalnutW920</t>
  </si>
  <si>
    <t>WhiteW105</t>
  </si>
  <si>
    <t>EggshellW405</t>
  </si>
  <si>
    <t>AntiqueWhiteW140</t>
  </si>
  <si>
    <t>JasperW498</t>
  </si>
  <si>
    <t>MochaW811</t>
  </si>
  <si>
    <t>DarkChestnutPT067</t>
  </si>
  <si>
    <t>CoffeeW890</t>
  </si>
  <si>
    <t>WalnutW891</t>
  </si>
  <si>
    <t>MapleW893</t>
  </si>
  <si>
    <t>DarkCherryW894</t>
  </si>
  <si>
    <t>MahoganyW306</t>
  </si>
  <si>
    <t>FBOWhiteF186</t>
  </si>
  <si>
    <t>FBOOffWhiteF286</t>
  </si>
  <si>
    <t>FBOAntiqueWhiteF140</t>
  </si>
  <si>
    <t>Basswood Blade Options &amp; Colour</t>
  </si>
  <si>
    <t>Blade Option Setting</t>
  </si>
  <si>
    <t>Bi Fold Bottom Fixed Pivot Bracket &amp; Pin</t>
  </si>
  <si>
    <t>Bottom Pivot Pin For Bi Fold/Sliding Panel</t>
  </si>
  <si>
    <t>Bumper Stop</t>
  </si>
  <si>
    <t>Carrier Bracket For Bi Fold/Sliding Panel</t>
  </si>
  <si>
    <t>Hinge Packer</t>
  </si>
  <si>
    <t>Magnet &amp; Catch</t>
  </si>
  <si>
    <t>Slider L Bracket</t>
  </si>
  <si>
    <t>Spring Pin</t>
  </si>
  <si>
    <t>Standard Hinge</t>
  </si>
  <si>
    <t>Top Fixed Pivot Bracket</t>
  </si>
  <si>
    <t>Top Track Stopper Block</t>
  </si>
  <si>
    <t>Top Wheel</t>
  </si>
  <si>
    <t>Caramel</t>
  </si>
  <si>
    <t>Bright Silver</t>
  </si>
  <si>
    <t>Stepped Rabbet Hinge</t>
  </si>
  <si>
    <t>Flat Hinge</t>
  </si>
  <si>
    <t>L Drop Hinge</t>
  </si>
  <si>
    <t>Hidden Tiltrod 114mm</t>
  </si>
  <si>
    <t>Hidden Tiltrod 63mm</t>
  </si>
  <si>
    <t>Hidden Tiltrod 89mm</t>
  </si>
  <si>
    <t>Magnet Catch</t>
  </si>
  <si>
    <t>Pivot Hinges Left Right Sides</t>
  </si>
  <si>
    <t>Carrier Bracket For Bi Fold Sliding Panel</t>
  </si>
  <si>
    <t>Bottom Pivot Pin For Bi Fold Sliding Panel</t>
  </si>
  <si>
    <t>Bi Fold Bottom Fixed Pivot Bracket Pin</t>
  </si>
  <si>
    <t>Additional Item Notes</t>
  </si>
  <si>
    <t>FauxwoodExtrasOptions</t>
  </si>
  <si>
    <t>Sliding Frame 108mm x 35mm Bi Pass Frame Material</t>
  </si>
  <si>
    <t>Tracking For Bi Fold Sliding Shutters Material</t>
  </si>
  <si>
    <t>Critical Mid Rail Highlight</t>
  </si>
  <si>
    <t>Rack &amp; Pinion Surcharge Check</t>
  </si>
  <si>
    <t>Shaped Check</t>
  </si>
  <si>
    <t>Fauxwood Oversize Check</t>
  </si>
  <si>
    <t>Surcharge Check</t>
  </si>
  <si>
    <t xml:space="preserve">Surcharge </t>
  </si>
  <si>
    <t>Large Size Panel</t>
  </si>
  <si>
    <t>Standard Special Comments # 3</t>
  </si>
  <si>
    <t>Special_Comments_3</t>
  </si>
  <si>
    <t>Critical Midrail</t>
  </si>
  <si>
    <t>User Specific Line Item Notes/Special Comments</t>
  </si>
  <si>
    <t>Track Check</t>
  </si>
  <si>
    <t>Open</t>
  </si>
  <si>
    <t>Closed</t>
  </si>
  <si>
    <t>SOCHinged</t>
  </si>
  <si>
    <t>SOCDoubleHinged</t>
  </si>
  <si>
    <t>SOCTrackBiFold</t>
  </si>
  <si>
    <t>SOCSliding</t>
  </si>
  <si>
    <t>SOCFixed</t>
  </si>
  <si>
    <t>CheckLayoutCode</t>
  </si>
  <si>
    <t>Check Layout Code T Post Quantity</t>
  </si>
  <si>
    <t xml:space="preserve">Check T Post &amp; Layout Code </t>
  </si>
  <si>
    <t>Left &amp; Right Frame</t>
  </si>
  <si>
    <t>LRFNoFrame</t>
  </si>
  <si>
    <t>LRFHangingStrip</t>
  </si>
  <si>
    <t>LRFSmallLFrame</t>
  </si>
  <si>
    <t>LRFSmallFFLFrame</t>
  </si>
  <si>
    <t>LRFMediumLFrame</t>
  </si>
  <si>
    <t>LRFMediumFFLFrame</t>
  </si>
  <si>
    <t>LRFLargeLFrame</t>
  </si>
  <si>
    <t>LRFLargeFFLFrame</t>
  </si>
  <si>
    <t>LRFStandardZFrame</t>
  </si>
  <si>
    <t>LRFLargeZFrame</t>
  </si>
  <si>
    <t>LRFBullnoseZFrame</t>
  </si>
  <si>
    <t>LRFUChannel</t>
  </si>
  <si>
    <t>LRF100mm</t>
  </si>
  <si>
    <t>LRF140mm</t>
  </si>
  <si>
    <t>LRF180mm</t>
  </si>
  <si>
    <t>LRF220mm</t>
  </si>
  <si>
    <t>Layout Code &amp; T Post Quantity Issue</t>
  </si>
  <si>
    <t>Panels Fixed With Magnets &amp; Catches</t>
  </si>
  <si>
    <t>Check T Post &amp; T Post Entries</t>
  </si>
  <si>
    <t>Error</t>
  </si>
  <si>
    <t>Check T Post &amp; Layout Code Highlight</t>
  </si>
  <si>
    <t>1st T Post Hightlight Entered</t>
  </si>
  <si>
    <t>1st T Post Hightlight Entered Issue</t>
  </si>
  <si>
    <t>2nd T Post Hightlight Entered Issue</t>
  </si>
  <si>
    <t>3rd T Post Hightlight Entered Issue</t>
  </si>
  <si>
    <t>FauxwoodExtraOptionsStd</t>
  </si>
  <si>
    <t>Bi Fold Frame, 60mm x 9.5mm</t>
  </si>
  <si>
    <t>Bi Fold Frame 60mm x 9.5mm Material</t>
  </si>
  <si>
    <t>Top Bottom Rail 137.5mm x 21mm Material</t>
  </si>
  <si>
    <t>Divider Rail Mid Rail Centre Rail 79.5mm x 21mm</t>
  </si>
  <si>
    <t>Taos A611</t>
  </si>
  <si>
    <t>Aluminium A964</t>
  </si>
  <si>
    <t>WindowCheck</t>
  </si>
  <si>
    <t>Corner</t>
  </si>
  <si>
    <t>Bay</t>
  </si>
  <si>
    <t>Bracket Option</t>
  </si>
  <si>
    <t>Double</t>
  </si>
  <si>
    <t>Link</t>
  </si>
  <si>
    <t>Double Link</t>
  </si>
  <si>
    <t>38mmTubeStandard</t>
  </si>
  <si>
    <t>Bracket_Type</t>
  </si>
  <si>
    <t>Default</t>
  </si>
  <si>
    <t>Slimline</t>
  </si>
  <si>
    <t>Operate Separately</t>
  </si>
  <si>
    <t>Operate Together</t>
  </si>
  <si>
    <t>Operate Separately (Slimline)</t>
  </si>
  <si>
    <t>Operate Separately (Standard)</t>
  </si>
  <si>
    <t>Operate Together (Slimline)</t>
  </si>
  <si>
    <t>Operate Together (Standard)</t>
  </si>
  <si>
    <t>38mm Tube</t>
  </si>
  <si>
    <t>45mm Tube</t>
  </si>
  <si>
    <t>Small_Tube</t>
  </si>
  <si>
    <t>Large_Tube</t>
  </si>
  <si>
    <t>TubeStandard</t>
  </si>
  <si>
    <t>Tube38mmLink</t>
  </si>
  <si>
    <t>Double45mmTube</t>
  </si>
  <si>
    <t>DoubleLink38mmTube</t>
  </si>
  <si>
    <t>DoubleLink45mmTube</t>
  </si>
  <si>
    <t>Match Bracket</t>
  </si>
  <si>
    <t>Match Option</t>
  </si>
  <si>
    <t>Index</t>
  </si>
  <si>
    <t>Double38mmTube</t>
  </si>
  <si>
    <t>Cover Strip To Fit Face Fit Frame 12.5mm x 5mm</t>
  </si>
  <si>
    <t>Cover Strip To Fit Face Fit Frame 17mm x 5mm</t>
  </si>
  <si>
    <t>OUT</t>
  </si>
  <si>
    <t>Basswood Luxury</t>
  </si>
  <si>
    <t>Fauxwood Eco</t>
  </si>
  <si>
    <t>Fauxwood Night</t>
  </si>
  <si>
    <t>Pure White (F190)</t>
  </si>
  <si>
    <t>Pure White (W190)</t>
  </si>
  <si>
    <t>Material &amp;
Product</t>
  </si>
  <si>
    <t>Fauxwood Eco Blade Options &amp; Colour</t>
  </si>
  <si>
    <t>Fauxwood Night Blade Options &amp; Colour</t>
  </si>
  <si>
    <t>Fauxwood Lite Blade Options &amp; Colour</t>
  </si>
  <si>
    <t>PureWhiteF190</t>
  </si>
  <si>
    <t>PureWhiteW190</t>
  </si>
  <si>
    <t>LiteWhiteF186</t>
  </si>
  <si>
    <t>LiteOffWhiteF286</t>
  </si>
  <si>
    <t>LiteAntiqueWhiteF140</t>
  </si>
  <si>
    <t>LitePureWhiteF190</t>
  </si>
  <si>
    <t>IN</t>
  </si>
  <si>
    <t>MS</t>
  </si>
  <si>
    <t>LBLBL</t>
  </si>
  <si>
    <t>LBRBR</t>
  </si>
  <si>
    <t>LCLCL</t>
  </si>
  <si>
    <t>LCLR</t>
  </si>
  <si>
    <t xml:space="preserve">LCLRTLRCR </t>
  </si>
  <si>
    <t>LCLTLTR</t>
  </si>
  <si>
    <t xml:space="preserve">LCLTR </t>
  </si>
  <si>
    <t>LCRCR</t>
  </si>
  <si>
    <t>LCRTR</t>
  </si>
  <si>
    <t>LRBLR</t>
  </si>
  <si>
    <t>LRBLRTLRBLR</t>
  </si>
  <si>
    <t>LRBLTLTRBLR</t>
  </si>
  <si>
    <t>LRCL</t>
  </si>
  <si>
    <t>LRCLR</t>
  </si>
  <si>
    <t>LRCLRTLRCLR</t>
  </si>
  <si>
    <t>LRCLTLTRCLR</t>
  </si>
  <si>
    <t>LRCR</t>
  </si>
  <si>
    <t>LTL</t>
  </si>
  <si>
    <t>LTLTLCR</t>
  </si>
  <si>
    <t xml:space="preserve">LTRCL </t>
  </si>
  <si>
    <t>LTRCLTR</t>
  </si>
  <si>
    <t>RBL</t>
  </si>
  <si>
    <t>RBLBR</t>
  </si>
  <si>
    <t>RBRBL</t>
  </si>
  <si>
    <t>RBRBR</t>
  </si>
  <si>
    <t>RCL</t>
  </si>
  <si>
    <t>RCLCR</t>
  </si>
  <si>
    <t>RCLR</t>
  </si>
  <si>
    <t>RCRCL</t>
  </si>
  <si>
    <t>RCRCR</t>
  </si>
  <si>
    <t>RTL</t>
  </si>
  <si>
    <t>RTLTL</t>
  </si>
  <si>
    <t>RTR</t>
  </si>
  <si>
    <t>RTRTL</t>
  </si>
  <si>
    <t>LLBRR</t>
  </si>
  <si>
    <t>LLBLL</t>
  </si>
  <si>
    <t>RRBRR</t>
  </si>
  <si>
    <t>RRBLL</t>
  </si>
  <si>
    <t>LLBLRBRR</t>
  </si>
  <si>
    <t>LRBLLRRBLR</t>
  </si>
  <si>
    <t>LLCRR</t>
  </si>
  <si>
    <t>LLCLL</t>
  </si>
  <si>
    <t>RRCRR</t>
  </si>
  <si>
    <t>RRCLL</t>
  </si>
  <si>
    <t>LLCLRCRR</t>
  </si>
  <si>
    <t>LRCLLRRCLR</t>
  </si>
  <si>
    <t>HingedLayoutCodes</t>
  </si>
  <si>
    <t>DoubleHingedLayoutCodes</t>
  </si>
  <si>
    <t>SlidingLayoutCodes</t>
  </si>
  <si>
    <t>Layout Code Options</t>
  </si>
  <si>
    <t>MountingMethodLayoutCodeOption</t>
  </si>
  <si>
    <t>TrackBiFoldLayoutCodes</t>
  </si>
  <si>
    <t>FixedLayoutCodes</t>
  </si>
  <si>
    <t>Fluffy_Strip_Fauxwood_Lite</t>
  </si>
  <si>
    <t>Fluffy_Strip_Fauxwood_Eco</t>
  </si>
  <si>
    <t>Fluffy_Strip_Fauxwood_Night</t>
  </si>
  <si>
    <t>MountingMethodIN</t>
  </si>
  <si>
    <t>MountingMethodOUT</t>
  </si>
  <si>
    <t>MountingMethodMS</t>
  </si>
  <si>
    <t>MSNALayoutCodes</t>
  </si>
  <si>
    <t>WindowTypeNA</t>
  </si>
  <si>
    <t>NAFrameType</t>
  </si>
  <si>
    <t>Left Right Frame</t>
  </si>
  <si>
    <t>LRFNA</t>
  </si>
  <si>
    <t>NA_TF</t>
  </si>
  <si>
    <t>NA_BFT</t>
  </si>
  <si>
    <t>SOCNA</t>
  </si>
  <si>
    <t>Panel Quantity</t>
  </si>
  <si>
    <t>T Post Count</t>
  </si>
  <si>
    <t>T Post Alert</t>
  </si>
  <si>
    <t>Fluffy 
Strip</t>
  </si>
  <si>
    <t>Right Frame Highlight</t>
  </si>
  <si>
    <t>Top Frame Check</t>
  </si>
  <si>
    <t>Bottom Frame Check</t>
  </si>
  <si>
    <t>T Post Quantity</t>
  </si>
  <si>
    <t>50mm Black Walnut PS230</t>
  </si>
  <si>
    <t>63mm Black Walnut PS230</t>
  </si>
  <si>
    <t>63mm Precious Silver PS966</t>
  </si>
  <si>
    <t>50mm Precious Silver PS966</t>
  </si>
  <si>
    <t>This is designed to begin at the left and work towards the right as the options will change based on the selections.</t>
  </si>
  <si>
    <t>Item 
#</t>
  </si>
  <si>
    <t>HingeNA</t>
  </si>
  <si>
    <t>Inside &amp; Face Fit</t>
  </si>
  <si>
    <t>Check</t>
  </si>
  <si>
    <t>Check Hinge Highlight</t>
  </si>
  <si>
    <t>Hinge Highlight</t>
  </si>
  <si>
    <t>Allowance 
ACT / NAM</t>
  </si>
  <si>
    <t>Recess / 
Face</t>
  </si>
  <si>
    <t>Left Hand Or Right Hand</t>
  </si>
  <si>
    <t>Room 
Location</t>
  </si>
  <si>
    <t>WORKSHEET # / PO # :</t>
  </si>
  <si>
    <t>Please check all the necessary information
is on the Order before submitting.</t>
  </si>
  <si>
    <r>
      <t>Angle (</t>
    </r>
    <r>
      <rPr>
        <b/>
        <sz val="11"/>
        <rFont val="Calibri"/>
        <family val="2"/>
      </rPr>
      <t>°</t>
    </r>
    <r>
      <rPr>
        <b/>
        <sz val="11"/>
        <rFont val="Calibri"/>
        <family val="2"/>
        <scheme val="minor"/>
      </rPr>
      <t>)</t>
    </r>
  </si>
  <si>
    <t>Room Location</t>
  </si>
  <si>
    <t>DeliveryAddress</t>
  </si>
  <si>
    <t>BlindType</t>
  </si>
  <si>
    <t>Roller</t>
  </si>
  <si>
    <t>50mm Timber Venetian</t>
  </si>
  <si>
    <t>Vertical</t>
  </si>
  <si>
    <t>LHRHCorner</t>
  </si>
  <si>
    <t>FaceRecess</t>
  </si>
  <si>
    <t>ACTNAM</t>
  </si>
  <si>
    <t>ButtThru</t>
  </si>
  <si>
    <t>LH Corner</t>
  </si>
  <si>
    <t>Face</t>
  </si>
  <si>
    <t>Butt</t>
  </si>
  <si>
    <t>RH Corner</t>
  </si>
  <si>
    <t>Recess</t>
  </si>
  <si>
    <t>Thru</t>
  </si>
  <si>
    <t>shutterorders@pacificwholesale.com.au</t>
  </si>
  <si>
    <t>Pivot Hinged</t>
  </si>
  <si>
    <t>Pivot_Hinged_Frame_Type</t>
  </si>
  <si>
    <t>PivotHingeColour</t>
  </si>
  <si>
    <t>SOCPivotHinged</t>
  </si>
  <si>
    <t>LD-R</t>
  </si>
  <si>
    <t>L-DR</t>
  </si>
  <si>
    <t>PivotHingedLayoutCodes</t>
  </si>
  <si>
    <t>LD-RTL</t>
  </si>
  <si>
    <t>L-DRTL</t>
  </si>
  <si>
    <t>LD-RTR</t>
  </si>
  <si>
    <t>L-DRTR</t>
  </si>
  <si>
    <t>LTLD-R</t>
  </si>
  <si>
    <t>LTL-DR</t>
  </si>
  <si>
    <t>RTLD-R</t>
  </si>
  <si>
    <t>RTL-DR</t>
  </si>
  <si>
    <t>LD-RTLD-R</t>
  </si>
  <si>
    <t>L-DRTL-DR</t>
  </si>
  <si>
    <t>LTLD-RTR</t>
  </si>
  <si>
    <t>LTL-DRTR</t>
  </si>
  <si>
    <t>RTLD-RTL</t>
  </si>
  <si>
    <t>RTL-DRTL</t>
  </si>
  <si>
    <t>LD-RTLD-RTL</t>
  </si>
  <si>
    <t>LD-RTLD-RTR</t>
  </si>
  <si>
    <t>L-DRTL-DRTR</t>
  </si>
  <si>
    <t>LTLD-RTLD-R</t>
  </si>
  <si>
    <t>LTL-DRTL-DR</t>
  </si>
  <si>
    <t>LD-RTLD-RTLD-R</t>
  </si>
  <si>
    <t>L-DRTL-DRTL-DR</t>
  </si>
  <si>
    <t>LTLD-RTLD-RTR</t>
  </si>
  <si>
    <t>LTL-DRTL-DRTR</t>
  </si>
  <si>
    <t>LTLD-RTRTLTLD-RTR</t>
  </si>
  <si>
    <t>LTL-DRTRTLTL-DRTR</t>
  </si>
  <si>
    <t>If Recess: 
Front/Back Measure</t>
  </si>
  <si>
    <t>Phone: +61 2 8850 9305</t>
  </si>
  <si>
    <t>WORKSHEET # / PO #:</t>
  </si>
  <si>
    <t>Non Standard Layout Code Lookup</t>
  </si>
  <si>
    <t>Check Highlight</t>
  </si>
  <si>
    <t>LLD-RR</t>
  </si>
  <si>
    <t>Version</t>
  </si>
  <si>
    <t>Panel Height Highlight</t>
  </si>
  <si>
    <t>TopFrameNoFrame</t>
  </si>
  <si>
    <t>TopFrameHangingStrip</t>
  </si>
  <si>
    <t>TopFrameSmallLFrame</t>
  </si>
  <si>
    <t>TopFrameSmallFFLFrame</t>
  </si>
  <si>
    <t>TopFrameMediumLFrame</t>
  </si>
  <si>
    <t>TopFrameMediumFFLFrame</t>
  </si>
  <si>
    <t>TopFrameLargeLFrame</t>
  </si>
  <si>
    <t>TopFrameLargeFFLFrame</t>
  </si>
  <si>
    <t>TopFrameStandardZFrame</t>
  </si>
  <si>
    <t>TopFrameLargeZFrame</t>
  </si>
  <si>
    <t>TopFrameBullnoseZFrame</t>
  </si>
  <si>
    <t>TopFrameUChannel</t>
  </si>
  <si>
    <t>TopFrame100mm</t>
  </si>
  <si>
    <t>TopFrame140mm</t>
  </si>
  <si>
    <t>TopFrame180mm</t>
  </si>
  <si>
    <t>TopFrame220mm</t>
  </si>
  <si>
    <t>TopFrameNA</t>
  </si>
  <si>
    <t>Bottom Frame</t>
  </si>
  <si>
    <t>BottomFrameNoFrame</t>
  </si>
  <si>
    <t>BottomFrameHangingStrip</t>
  </si>
  <si>
    <t>BottomFrameSmallLFrame</t>
  </si>
  <si>
    <t>BottomFrameSmallFFLFrame</t>
  </si>
  <si>
    <t>BottomFrameMediumLFrame</t>
  </si>
  <si>
    <t>BottomFrameMediumFFLFrame</t>
  </si>
  <si>
    <t>BottomFrameLargeLFrame</t>
  </si>
  <si>
    <t>BottomFrameLargeFFLFrame</t>
  </si>
  <si>
    <t>BottomFrameStandardZFrame</t>
  </si>
  <si>
    <t>BottomFrameLargeZFrame</t>
  </si>
  <si>
    <t>BottomFrameBullnoseZFrame</t>
  </si>
  <si>
    <t>BottomFrameUChannel</t>
  </si>
  <si>
    <t>BottomFrameSliding</t>
  </si>
  <si>
    <t>BottomFrameTrackBiFold</t>
  </si>
  <si>
    <t>BottomFrameNA</t>
  </si>
  <si>
    <t>PivotHingedTopBottomFrame</t>
  </si>
  <si>
    <t>Pelmet Insert Alert</t>
  </si>
  <si>
    <t>LD-RR</t>
  </si>
  <si>
    <t>L-DRR</t>
  </si>
  <si>
    <t>LLD-R</t>
  </si>
  <si>
    <t>LL-DR</t>
  </si>
  <si>
    <t>LL-DRR</t>
  </si>
  <si>
    <t>50mm &amp; 63mm Venetian Blinds</t>
  </si>
  <si>
    <t>Venetian Product</t>
  </si>
  <si>
    <t>VenetianProduct</t>
  </si>
  <si>
    <t>Colour By Product</t>
  </si>
  <si>
    <t>25mm Aluminium Venetians</t>
  </si>
  <si>
    <t>Additional Headboard 140mm x 19mm</t>
  </si>
  <si>
    <t>Additional Headboard 140mm x 19mm Material</t>
  </si>
  <si>
    <t>FauxwoodLiteTiltrod</t>
  </si>
  <si>
    <t>Tiltrod Match Material</t>
  </si>
  <si>
    <t>Tiltrod Match Blade</t>
  </si>
  <si>
    <t>INDEX Tiltrod</t>
  </si>
  <si>
    <t>Copyright © Pacific Wholesale Distributors 2008.
Unauthorised use and/or duplication of this material without the express written permission from the owner is strictly prohibited.</t>
  </si>
  <si>
    <t>Venice</t>
  </si>
  <si>
    <t>Florence</t>
  </si>
  <si>
    <t>Milan</t>
  </si>
  <si>
    <t>Pompeii</t>
  </si>
  <si>
    <t>Amalfi</t>
  </si>
  <si>
    <t>Kai</t>
  </si>
  <si>
    <t xml:space="preserve">Black </t>
  </si>
  <si>
    <t xml:space="preserve">Almond </t>
  </si>
  <si>
    <t>Brown</t>
  </si>
  <si>
    <t xml:space="preserve">Charcoal </t>
  </si>
  <si>
    <t>Grey</t>
  </si>
  <si>
    <t>Charcoal</t>
  </si>
  <si>
    <t>Bone</t>
  </si>
  <si>
    <t>Chinchilla</t>
  </si>
  <si>
    <t>Ice</t>
  </si>
  <si>
    <t>Chocolate</t>
  </si>
  <si>
    <t xml:space="preserve">Steel Grey </t>
  </si>
  <si>
    <t>Latte</t>
  </si>
  <si>
    <t>Linen</t>
  </si>
  <si>
    <t>Marshmallow</t>
  </si>
  <si>
    <t xml:space="preserve">Mocha </t>
  </si>
  <si>
    <t xml:space="preserve">Coffee </t>
  </si>
  <si>
    <t>Vanilla</t>
  </si>
  <si>
    <t>Oyster</t>
  </si>
  <si>
    <t xml:space="preserve">Pearl </t>
  </si>
  <si>
    <t xml:space="preserve">Stone </t>
  </si>
  <si>
    <t xml:space="preserve">Oyster </t>
  </si>
  <si>
    <t xml:space="preserve">White </t>
  </si>
  <si>
    <t>Papyrus</t>
  </si>
  <si>
    <t>Sand</t>
  </si>
  <si>
    <t xml:space="preserve">Vanilla </t>
  </si>
  <si>
    <t xml:space="preserve">Parchment </t>
  </si>
  <si>
    <t xml:space="preserve">Slate </t>
  </si>
  <si>
    <t xml:space="preserve">Sand </t>
  </si>
  <si>
    <t xml:space="preserve">Snow </t>
  </si>
  <si>
    <t>Shadow</t>
  </si>
  <si>
    <t>Stone</t>
  </si>
  <si>
    <t xml:space="preserve">Silk </t>
  </si>
  <si>
    <t xml:space="preserve">Truffle </t>
  </si>
  <si>
    <t>ControlOption</t>
  </si>
  <si>
    <t>Rome (Blockout)</t>
  </si>
  <si>
    <t>Como (Blockout)</t>
  </si>
  <si>
    <t>Motor - Left Hand, Single Channel, Hand Held</t>
  </si>
  <si>
    <t>Motor - Left Hand, 5 Channel, Hand Held</t>
  </si>
  <si>
    <t>Motor - Left Hand, Single Channel, Wall Mounted</t>
  </si>
  <si>
    <t>Motor - Left Hand, 5 Channel, Wall Mounted</t>
  </si>
  <si>
    <t>Motor - Right Hand, Single Channel, Hand Held</t>
  </si>
  <si>
    <t>Motor - Right Hand, 5 Channel, Hand Held</t>
  </si>
  <si>
    <t>Motor - Right Hand, Single Channel, Wall Mounted</t>
  </si>
  <si>
    <t>Motor - Right Hand, 5 Channel, Wall Mounted</t>
  </si>
  <si>
    <t>Como (Translucent)</t>
  </si>
  <si>
    <t>Rome (Translucent)</t>
  </si>
  <si>
    <t>Sunscreen Bronze</t>
  </si>
  <si>
    <t>Sunscreen Charcoal</t>
  </si>
  <si>
    <t>Sunscreen Fox</t>
  </si>
  <si>
    <t>Sunscreen Jasper</t>
  </si>
  <si>
    <t>Sunscreen Vanilla</t>
  </si>
  <si>
    <t>Sunscreen White</t>
  </si>
  <si>
    <t>Sunscreen Pumice</t>
  </si>
  <si>
    <t>Sunscreen Slate</t>
  </si>
  <si>
    <t>Sunscreen Storm</t>
  </si>
  <si>
    <t>SetPelmetOption</t>
  </si>
  <si>
    <t>RollerUniversalPelmet</t>
  </si>
  <si>
    <t>RollerPelmetColourCommon</t>
  </si>
  <si>
    <t>RollerPelmetColourStandard</t>
  </si>
  <si>
    <t>RollerPelmetColourNo</t>
  </si>
  <si>
    <t>RollerPelmetInsertCommon</t>
  </si>
  <si>
    <t>RollerPelmetInsertStandard</t>
  </si>
  <si>
    <t>RollerPelmetInsertNo</t>
  </si>
  <si>
    <t>RollerBracketTypeParis</t>
  </si>
  <si>
    <t>RollerBracketType2</t>
  </si>
  <si>
    <t>Naples</t>
  </si>
  <si>
    <t>Cotton</t>
  </si>
  <si>
    <t>Angora</t>
  </si>
  <si>
    <t>Merino</t>
  </si>
  <si>
    <t>Marten</t>
  </si>
  <si>
    <t>Suede</t>
  </si>
  <si>
    <t>Mink</t>
  </si>
  <si>
    <t>Possum</t>
  </si>
  <si>
    <t>PelmetInsertHughlightTable</t>
  </si>
  <si>
    <t>Vlookup</t>
  </si>
  <si>
    <t>Pelmet Colour Alert</t>
  </si>
  <si>
    <t>Cellular Blinds</t>
  </si>
  <si>
    <t>CellularBlindProduct</t>
  </si>
  <si>
    <t>25mm Single Cellular Blind</t>
  </si>
  <si>
    <t>38mm Single Cellular Blind</t>
  </si>
  <si>
    <t>38mm Double Cellular Blind</t>
  </si>
  <si>
    <t>Blockout Standard</t>
  </si>
  <si>
    <t>Translucent Standard</t>
  </si>
  <si>
    <t>Operation</t>
  </si>
  <si>
    <t>CellularOperation</t>
  </si>
  <si>
    <t>Clutch Day &amp; Night</t>
  </si>
  <si>
    <t>Clutch Top Down, Bottom Up</t>
  </si>
  <si>
    <t>Cordless Day &amp; Night</t>
  </si>
  <si>
    <t>Cordless Top Down, Bottom Up</t>
  </si>
  <si>
    <t>Translucent Crush</t>
  </si>
  <si>
    <t>Translucent Thatched</t>
  </si>
  <si>
    <t>Translucent Paisley</t>
  </si>
  <si>
    <t>Translucent Sheer</t>
  </si>
  <si>
    <t>Translucent Linen</t>
  </si>
  <si>
    <t>Translucent Woven</t>
  </si>
  <si>
    <t>LuminosityAndFabric</t>
  </si>
  <si>
    <t>Control</t>
  </si>
  <si>
    <t>CellularControl</t>
  </si>
  <si>
    <t>Both Left</t>
  </si>
  <si>
    <t>Both Right</t>
  </si>
  <si>
    <t>Top Left, Bottom Right</t>
  </si>
  <si>
    <t>Top Right, Bottom Left</t>
  </si>
  <si>
    <t>CellularControlLength</t>
  </si>
  <si>
    <t>Motorised Hardwired</t>
  </si>
  <si>
    <t>Motorised Battery</t>
  </si>
  <si>
    <t>Cordless Standard</t>
  </si>
  <si>
    <t>Clutch Standard</t>
  </si>
  <si>
    <t>Cord Standard</t>
  </si>
  <si>
    <t>Cord Day &amp; Night</t>
  </si>
  <si>
    <t>Cord Top Down, Bottom Up</t>
  </si>
  <si>
    <t>Corded Standard</t>
  </si>
  <si>
    <t>Corded Top Down, Bottom Up</t>
  </si>
  <si>
    <t>Fabric</t>
  </si>
  <si>
    <t>Oversize Check</t>
  </si>
  <si>
    <t>Colour/Top Colour</t>
  </si>
  <si>
    <t xml:space="preserve">Bottom Colour </t>
  </si>
  <si>
    <t>Cordless Day Night</t>
  </si>
  <si>
    <t>Corded Day Night</t>
  </si>
  <si>
    <t>Clutch Day Night</t>
  </si>
  <si>
    <t>Blockout Top &amp; Translucent Bottom</t>
  </si>
  <si>
    <t>OtherControl</t>
  </si>
  <si>
    <t>Agate Red</t>
  </si>
  <si>
    <t>Alabaster</t>
  </si>
  <si>
    <t xml:space="preserve">Avocado </t>
  </si>
  <si>
    <t xml:space="preserve">Bordeaux </t>
  </si>
  <si>
    <t>Cocoa</t>
  </si>
  <si>
    <t>Fawn</t>
  </si>
  <si>
    <t>Jean Blue</t>
  </si>
  <si>
    <t xml:space="preserve">Biscuit </t>
  </si>
  <si>
    <t>Pongee</t>
  </si>
  <si>
    <t>White Dove</t>
  </si>
  <si>
    <t xml:space="preserve">Snow White </t>
  </si>
  <si>
    <t>Onion</t>
  </si>
  <si>
    <t>Royal Purple</t>
  </si>
  <si>
    <t>Terra Cotta</t>
  </si>
  <si>
    <t>Winter White</t>
  </si>
  <si>
    <t xml:space="preserve">Cream </t>
  </si>
  <si>
    <t>Federal Blue</t>
  </si>
  <si>
    <t xml:space="preserve">Gray Sheen </t>
  </si>
  <si>
    <t>Ironstone</t>
  </si>
  <si>
    <t xml:space="preserve">Ocher </t>
  </si>
  <si>
    <t>Musk</t>
  </si>
  <si>
    <t xml:space="preserve">Marine Blue </t>
  </si>
  <si>
    <t xml:space="preserve">Pink Flamingo </t>
  </si>
  <si>
    <t>Roseate</t>
  </si>
  <si>
    <t>Sangria</t>
  </si>
  <si>
    <t>Stone Red</t>
  </si>
  <si>
    <t>Sweetmint</t>
  </si>
  <si>
    <t>Royal Gray</t>
  </si>
  <si>
    <t>Water Green</t>
  </si>
  <si>
    <t>Wisteria</t>
  </si>
  <si>
    <t xml:space="preserve">Spring Green </t>
  </si>
  <si>
    <t xml:space="preserve">Tan </t>
  </si>
  <si>
    <t>Match Product</t>
  </si>
  <si>
    <t>Match Fabric</t>
  </si>
  <si>
    <t>INDEX Product &amp; Fabric</t>
  </si>
  <si>
    <t xml:space="preserve"> 25mm Single Cellular Blind Blockout Standard</t>
  </si>
  <si>
    <t>Colour 2</t>
  </si>
  <si>
    <t>Colour2 38mm Single Cellular Blind Translucent Standard</t>
  </si>
  <si>
    <t>Sheer Alabaster</t>
  </si>
  <si>
    <t>Sheer Cocoa</t>
  </si>
  <si>
    <t>Sheer Cotton</t>
  </si>
  <si>
    <t>Sheer Fawn</t>
  </si>
  <si>
    <t xml:space="preserve">Sheer Snow White </t>
  </si>
  <si>
    <t>Colour2 38mm Single Cellular Blind Translucent Sheer</t>
  </si>
  <si>
    <t>Colour2 25mm Single Cellular Blind Translucent Standard</t>
  </si>
  <si>
    <t>Colour2 25mm Single Cellular Blind Translucent Sheer</t>
  </si>
  <si>
    <t>Colour2 38mm Single Cellular Blind Translucent Woven</t>
  </si>
  <si>
    <t>Colour2 25mm Single Cellular Blind Translucent Woven</t>
  </si>
  <si>
    <t>Colour2 38mm Single Cellular Blind Translucent Linen</t>
  </si>
  <si>
    <t>Colour2 38mm Single Cellular Blind Translucent Thatched</t>
  </si>
  <si>
    <t>Colour2 38mm Single Cellular Blind Translucent Paisley</t>
  </si>
  <si>
    <t>Colour2 25mm Single Cellular Blind Translucent Paisley</t>
  </si>
  <si>
    <t>Colour2 38mm Single Cellular Blind Translucent Crush</t>
  </si>
  <si>
    <t>Colour2 38mm Double Cellular Blind Translucent Standard</t>
  </si>
  <si>
    <t>Standard Agate Red</t>
  </si>
  <si>
    <t>Standard Alabaster</t>
  </si>
  <si>
    <t xml:space="preserve">Standard Avocado </t>
  </si>
  <si>
    <t>Standard Black</t>
  </si>
  <si>
    <t>Standard Cocoa</t>
  </si>
  <si>
    <t>Standard Cotton</t>
  </si>
  <si>
    <t xml:space="preserve">Standard Cream </t>
  </si>
  <si>
    <t xml:space="preserve">Standard Gray Sheen </t>
  </si>
  <si>
    <t>Standard Ironstone</t>
  </si>
  <si>
    <t>Standard Jean Blue</t>
  </si>
  <si>
    <t>Standard Musk</t>
  </si>
  <si>
    <t>Standard Pongee</t>
  </si>
  <si>
    <t>Standard Roseate</t>
  </si>
  <si>
    <t>Standard Royal Purple</t>
  </si>
  <si>
    <t xml:space="preserve">Standard Snow White </t>
  </si>
  <si>
    <t>Standard Sangria</t>
  </si>
  <si>
    <t>Standard Stone Red</t>
  </si>
  <si>
    <t>Standard Sweetmint</t>
  </si>
  <si>
    <t>Standard Water Green</t>
  </si>
  <si>
    <t>Standard Wisteria</t>
  </si>
  <si>
    <t>Crush Cocoa</t>
  </si>
  <si>
    <t>Crush Cotton</t>
  </si>
  <si>
    <t>Crush Fawn</t>
  </si>
  <si>
    <t>Crush White Dove</t>
  </si>
  <si>
    <t>Crush Winter White</t>
  </si>
  <si>
    <t>CellularMotorOptions</t>
  </si>
  <si>
    <t>Battery Operated Motor - Left</t>
  </si>
  <si>
    <t>Battery Operated Motor - Right</t>
  </si>
  <si>
    <t>Motor Control</t>
  </si>
  <si>
    <t>Control Corded Standard</t>
  </si>
  <si>
    <t>Control Corded Day Night</t>
  </si>
  <si>
    <t>Control Cordless Standard</t>
  </si>
  <si>
    <t>Control Cordless Day Night</t>
  </si>
  <si>
    <t>Control Clutch Standard</t>
  </si>
  <si>
    <t>Control Clutch Day Night</t>
  </si>
  <si>
    <t>Control Motorised Hardwired</t>
  </si>
  <si>
    <t xml:space="preserve">Woven Avocado </t>
  </si>
  <si>
    <t>Woven Cocoa</t>
  </si>
  <si>
    <t>Woven Cotton</t>
  </si>
  <si>
    <t>Woven Fawn</t>
  </si>
  <si>
    <t>Woven Onion</t>
  </si>
  <si>
    <t>Linen Agate Red</t>
  </si>
  <si>
    <t xml:space="preserve">Linen Avocado </t>
  </si>
  <si>
    <t>Linen Cocoa</t>
  </si>
  <si>
    <t>Linen Jean Blue</t>
  </si>
  <si>
    <t>Linen Royal Purple</t>
  </si>
  <si>
    <t xml:space="preserve">Thatched Avocado </t>
  </si>
  <si>
    <t>Thatched Cocoa</t>
  </si>
  <si>
    <t>Thatched Fawn</t>
  </si>
  <si>
    <t>Thatched Pongee</t>
  </si>
  <si>
    <t>Thatched Terra Cotta</t>
  </si>
  <si>
    <t xml:space="preserve">Paisley Bordeaux </t>
  </si>
  <si>
    <t>Paisley Cocoa</t>
  </si>
  <si>
    <t>Paisley Fawn</t>
  </si>
  <si>
    <t>Paisley Pongee</t>
  </si>
  <si>
    <t>Paisley Royal Purple</t>
  </si>
  <si>
    <t xml:space="preserve">Standard Biscuit </t>
  </si>
  <si>
    <t xml:space="preserve">Standard Bordeaux </t>
  </si>
  <si>
    <t>Standard Fawn</t>
  </si>
  <si>
    <t xml:space="preserve">Standard Marine Blue </t>
  </si>
  <si>
    <t xml:space="preserve">Standard Ocher </t>
  </si>
  <si>
    <t>Standard Onion</t>
  </si>
  <si>
    <t xml:space="preserve">Standard Pink Flamingo </t>
  </si>
  <si>
    <t>Standard Royal Gray</t>
  </si>
  <si>
    <t xml:space="preserve">Standard Spring Green </t>
  </si>
  <si>
    <t xml:space="preserve">Standard Tan </t>
  </si>
  <si>
    <t>Standard Terra Cotta</t>
  </si>
  <si>
    <t>Colour2 25mm Single Cellular Blind Translucent Thatched</t>
  </si>
  <si>
    <t xml:space="preserve"> 38mm Double Cellular Blind Blockout Standard</t>
  </si>
  <si>
    <t xml:space="preserve"> 38mm Double Cellular Blind Translucent Standard</t>
  </si>
  <si>
    <t xml:space="preserve"> 38mm Single Cellular Blind Translucent Crush</t>
  </si>
  <si>
    <t xml:space="preserve"> 25mm Single Cellular Blind Translucent Paisley</t>
  </si>
  <si>
    <t xml:space="preserve"> 25mm Single Cellular Blind Translucent Thatched</t>
  </si>
  <si>
    <t xml:space="preserve"> 38mm Single Cellular Blind Translucent Paisley</t>
  </si>
  <si>
    <t xml:space="preserve"> 38mm Single Cellular Blind Translucent Thatched</t>
  </si>
  <si>
    <t xml:space="preserve"> 38mm Single Cellular Blind Translucent Linen</t>
  </si>
  <si>
    <t xml:space="preserve"> 25mm Single Cellular Blind Translucent Woven</t>
  </si>
  <si>
    <t xml:space="preserve"> 38mm Single Cellular Blind Translucent Woven</t>
  </si>
  <si>
    <t xml:space="preserve"> 25mm Single Cellular Blind Translucent Sheer</t>
  </si>
  <si>
    <t xml:space="preserve"> 38mm Single Cellular Blind Translucent Sheer</t>
  </si>
  <si>
    <t xml:space="preserve"> 38mm Single Cellular Blind Blockout Standard</t>
  </si>
  <si>
    <t xml:space="preserve"> 25mm Single Cellular Blind Translucent Standard</t>
  </si>
  <si>
    <t xml:space="preserve"> 38mm Single Cellular Blind Translucent Standard</t>
  </si>
  <si>
    <t>Corded Standard 25mm Single</t>
  </si>
  <si>
    <t>Corded Day Night 25mm Single</t>
  </si>
  <si>
    <t>Cordless Day Night 25mm Single</t>
  </si>
  <si>
    <t>Clutch Standard 25mm Single</t>
  </si>
  <si>
    <t>Clutch Day Night 25mm Single</t>
  </si>
  <si>
    <t>Motorised Battery 25mm Single</t>
  </si>
  <si>
    <t>Cordless Standard 25mm Single</t>
  </si>
  <si>
    <t>Corded Top Down Bottom Up 25mm Single</t>
  </si>
  <si>
    <t>Motorised Hardwired 25mm Single</t>
  </si>
  <si>
    <t>Clutch Top Down Bottom Up 25mm Single</t>
  </si>
  <si>
    <t>Cordless Top Down Bottom Up 25mm Single</t>
  </si>
  <si>
    <t>Corded Standard 38mm Single</t>
  </si>
  <si>
    <t>Corded Day Night 38mm Single</t>
  </si>
  <si>
    <t>Corded Top Down Bottom Up 38mm Single</t>
  </si>
  <si>
    <t>Cordless Standard 38mm Single</t>
  </si>
  <si>
    <t>Cordless Day Night 38mm Single</t>
  </si>
  <si>
    <t>Cordless Top Down Bottom Up 38mm Single</t>
  </si>
  <si>
    <t>Clutch Standard 38mm Single</t>
  </si>
  <si>
    <t>Clutch Day Night 38mm Single</t>
  </si>
  <si>
    <t>Clutch Top Down Bottom Up 38mm Single</t>
  </si>
  <si>
    <t>Motorised Battery 38mm Single</t>
  </si>
  <si>
    <t>Motorised Hardwired 38mm Single</t>
  </si>
  <si>
    <t>Corded Standard 38mm Double</t>
  </si>
  <si>
    <t>Corded Day Night 38mm Double</t>
  </si>
  <si>
    <t>Corded Top Down Bottom Up 38mm Double</t>
  </si>
  <si>
    <t>Cordless Standard 38mm Double</t>
  </si>
  <si>
    <t>Cordless Day Night 38mm Double</t>
  </si>
  <si>
    <t>Cordless Top Down Bottom Up 38mm Double</t>
  </si>
  <si>
    <t>Clutch Standard 38mm Double</t>
  </si>
  <si>
    <t>Clutch Day Night 38mm Double</t>
  </si>
  <si>
    <t>Clutch Top Down Bottom Up 38mm Double</t>
  </si>
  <si>
    <t>Motorised Battery 38mm Double</t>
  </si>
  <si>
    <t>Motorised Hardwired 38mm Double</t>
  </si>
  <si>
    <t>Match Operation</t>
  </si>
  <si>
    <t>INDEX Operation &amp; Product</t>
  </si>
  <si>
    <t>Name</t>
  </si>
  <si>
    <t>Cellular Colour 2 25mm Single Cellular Blind</t>
  </si>
  <si>
    <t>Cellular Colour 2 38mm Double Cellular Blind</t>
  </si>
  <si>
    <t>Cellular Colour 2 38mm Single Cellular Blind</t>
  </si>
  <si>
    <t>Cellular Colour 2 NA</t>
  </si>
  <si>
    <t>Blue</t>
  </si>
  <si>
    <t>Corded Standard Control</t>
  </si>
  <si>
    <t>Corded Day Night Control</t>
  </si>
  <si>
    <t>Cordless Standard Control</t>
  </si>
  <si>
    <t>Cordless Day Night Control</t>
  </si>
  <si>
    <t>Clutch Standard Control</t>
  </si>
  <si>
    <t>Clutch Day Night Control</t>
  </si>
  <si>
    <t>Motorised Battery Control</t>
  </si>
  <si>
    <t>Motorised Hardwired Control</t>
  </si>
  <si>
    <t>Control Option</t>
  </si>
  <si>
    <t>Total SQM</t>
  </si>
  <si>
    <t>Size</t>
  </si>
  <si>
    <t>Calculate</t>
  </si>
  <si>
    <t>Check Size</t>
  </si>
  <si>
    <t>RollerChain Motor Left Hand Single Channel Hand Held</t>
  </si>
  <si>
    <t>RollerChain Motor Left Hand 5 Channel Hand Held</t>
  </si>
  <si>
    <t>RollerChain Motor Left Hand Single Channel Wall Mounted</t>
  </si>
  <si>
    <t>RollerChain Motor Left Hand 5 Channel Wall Mounted</t>
  </si>
  <si>
    <t>RollerChain Motor Right Hand Single Channel Hand Held</t>
  </si>
  <si>
    <t>RollerChain Motor Right Hand 5 Channel Hand Held</t>
  </si>
  <si>
    <t>RollerChain Motor Right Hand 5 Channel Wall Mounted</t>
  </si>
  <si>
    <t>Default, 500mm, 750mm, 1000mm, 1250mm, 1500mm, 2000mm</t>
  </si>
  <si>
    <t>500mm</t>
  </si>
  <si>
    <t>750mm</t>
  </si>
  <si>
    <t>1000mm</t>
  </si>
  <si>
    <t>1250mm</t>
  </si>
  <si>
    <t>1500mm</t>
  </si>
  <si>
    <t>2000mm</t>
  </si>
  <si>
    <t>RollerChain Left</t>
  </si>
  <si>
    <t>RollerChain Right</t>
  </si>
  <si>
    <t>RollerChainColour Left</t>
  </si>
  <si>
    <t>RollerChainColour Right</t>
  </si>
  <si>
    <t>RollerChainColour Motor Left Hand Single Channel Hand Held</t>
  </si>
  <si>
    <t>RollerChainColour Motor Left Hand 5 Channel Hand Held</t>
  </si>
  <si>
    <t>RollerChainColour Motor Left Hand Single Channel Wall Mounted</t>
  </si>
  <si>
    <t>RollerChainColour Motor Left Hand 5 Channel Wall Mounted</t>
  </si>
  <si>
    <t>RollerChainColour Motor Right Hand Single Channel Hand Held</t>
  </si>
  <si>
    <t>RollerChainColour Motor Right Hand 5 Channel Hand Held</t>
  </si>
  <si>
    <t>RollerChainColour Motor Right Hand Single Channel Wall Mounted</t>
  </si>
  <si>
    <t>RollerChain Motor Right Hand Single Channel Wall Mounted</t>
  </si>
  <si>
    <t>RollerChainColour Motor Right Hand 5 Channel Wall Mounted</t>
  </si>
  <si>
    <t>Nickel Plated Brass</t>
  </si>
  <si>
    <t>Chain</t>
  </si>
  <si>
    <t>HelperSpringControlNo</t>
  </si>
  <si>
    <t>HelperSpringControlYes</t>
  </si>
  <si>
    <t>Helper Spring Yes No</t>
  </si>
  <si>
    <t>Translucent Top &amp; Blockout Bottom</t>
  </si>
  <si>
    <t>Corded Top Down Bottom Up Control</t>
  </si>
  <si>
    <t>Cordless Top Down Bottom Up Control</t>
  </si>
  <si>
    <t>Clutch Top Down Bottom Up Control</t>
  </si>
  <si>
    <t>Maximum</t>
  </si>
  <si>
    <t>Oval Bottom Rail 2</t>
  </si>
  <si>
    <t>Oval Bottom Rail Match Product</t>
  </si>
  <si>
    <t>Match Finish</t>
  </si>
  <si>
    <t>INDEX</t>
  </si>
  <si>
    <t>Hardwired Motor - Left Side Wand</t>
  </si>
  <si>
    <t>Hardwired Motor - Right Side Wand</t>
  </si>
  <si>
    <t>Battery Operated Motor - Left Side Wand</t>
  </si>
  <si>
    <t>Battery Operated Motor - Right Side Wand</t>
  </si>
  <si>
    <t>38mm Single</t>
  </si>
  <si>
    <t>Motor - Left Hand, 6 Channel, Black Hand Held Remote</t>
  </si>
  <si>
    <t>Motor - Right Hand, 6 Channel, Black Hand Held Remote</t>
  </si>
  <si>
    <t>Motor - Left Hand, 6 Channel, White Hand Held Remote</t>
  </si>
  <si>
    <t>Motor - Right Hand, 6 Channel, White Hand Held Remote</t>
  </si>
  <si>
    <t>Check Combo</t>
  </si>
  <si>
    <t>Check Combo 2</t>
  </si>
  <si>
    <t>Two Combo Check</t>
  </si>
  <si>
    <t>Combo Panel Multiplier</t>
  </si>
  <si>
    <t>Basswood Luxury Combo</t>
  </si>
  <si>
    <t>Check Yes</t>
  </si>
  <si>
    <t>Standard Control</t>
  </si>
  <si>
    <t>Motor - Left Hand, Black Hand Held Remote, 6 Channel</t>
  </si>
  <si>
    <t>Motor - Right Hand, Black Hand Held Remote, 6 Channel</t>
  </si>
  <si>
    <t>Motor - Left Hand, White Hand Held Remote, 6 Channel</t>
  </si>
  <si>
    <t>Motor - Right Hand, White Hand Held Remote, 6 Channel</t>
  </si>
  <si>
    <t>Cordless Wand Operated</t>
  </si>
  <si>
    <t>Cordless Wand Operated Control</t>
  </si>
  <si>
    <t>Motor - Left Hand, No Remote</t>
  </si>
  <si>
    <t>Motor - Right Hand, No Remote</t>
  </si>
  <si>
    <t>38mm Double</t>
  </si>
  <si>
    <t>25mm Single</t>
  </si>
  <si>
    <t>Panel Glide Blinds</t>
  </si>
  <si>
    <t>Panel Glide Blind Product</t>
  </si>
  <si>
    <t>Panel
Layout</t>
  </si>
  <si>
    <t>Bottom Rail</t>
  </si>
  <si>
    <t>Panel Glide Bottom Rail Colour</t>
  </si>
  <si>
    <t>Panel Glide Sewn In Pocket</t>
  </si>
  <si>
    <t>Panel_Quantity_2</t>
  </si>
  <si>
    <t>Panel_Quantity_3</t>
  </si>
  <si>
    <t>Panel_Quantity_4</t>
  </si>
  <si>
    <t>Panel_Quantity_5</t>
  </si>
  <si>
    <t>Panel_Quantity_6</t>
  </si>
  <si>
    <t>Panel_Quantity_7</t>
  </si>
  <si>
    <t>Panel_Quantity_8</t>
  </si>
  <si>
    <t>Panel_Quantity_9</t>
  </si>
  <si>
    <t>Panel Configuration</t>
  </si>
  <si>
    <t>Panel Qty</t>
  </si>
  <si>
    <t>Min Width</t>
  </si>
  <si>
    <t>Max Width</t>
  </si>
  <si>
    <t>Calculate Width Min</t>
  </si>
  <si>
    <t>Calculate Width Max</t>
  </si>
  <si>
    <t>Size Check Width Max</t>
  </si>
  <si>
    <t>Size Check Width Min</t>
  </si>
  <si>
    <t>Standard Hinge Large 90mm</t>
  </si>
  <si>
    <t>Cellular</t>
  </si>
  <si>
    <t>Panel Glide</t>
  </si>
  <si>
    <t>Motor - Left Hand, Home Automation</t>
  </si>
  <si>
    <t>Motor - Right Hand, Home Automation</t>
  </si>
  <si>
    <t>RollerChain Motor Left Home Automation</t>
  </si>
  <si>
    <t>RollerChain Motor Right Home Automation</t>
  </si>
  <si>
    <t>RollerChainColour Left Home Automation</t>
  </si>
  <si>
    <t>RollerChainColour Right Home Automation</t>
  </si>
  <si>
    <t>Top Track 
Colour</t>
  </si>
  <si>
    <t>2 Panels, 3 Track, Left Stack</t>
  </si>
  <si>
    <t>3 Panels, 3 Track, Left Stack</t>
  </si>
  <si>
    <t>4 Panels, 6 Track, Left Stack</t>
  </si>
  <si>
    <t>5 Panels, 6 Track, Left Stack</t>
  </si>
  <si>
    <t>6 Panels, 6 Track, Left Stack</t>
  </si>
  <si>
    <t>7 Panels, 6 Track, Centre Opening</t>
  </si>
  <si>
    <t>8 Panels, 6 Track, Centre Opening</t>
  </si>
  <si>
    <t>9 Panels, 6 Track, Centre Opening</t>
  </si>
  <si>
    <t>2 Panels, 3 Track, Right Stack</t>
  </si>
  <si>
    <t>3 Panels, 3 Track, Right Stack</t>
  </si>
  <si>
    <t>4 Panels, 6 Track, Right Stack</t>
  </si>
  <si>
    <t>5 Panels, 6 Track, Right Stack</t>
  </si>
  <si>
    <t>6 Panels, 6 Track, Right Stack</t>
  </si>
  <si>
    <t>5 Panels, 6 Track, Centre Opening</t>
  </si>
  <si>
    <t>Check Panel Size Against Width</t>
  </si>
  <si>
    <t>Calculate Small</t>
  </si>
  <si>
    <t>Calculate Big</t>
  </si>
  <si>
    <t>Check Size Highlight</t>
  </si>
  <si>
    <t>3 Panels, 3 Track, Centre Opening</t>
  </si>
  <si>
    <t>Large Bullnose Z Frame</t>
  </si>
  <si>
    <t>LRFLargeBullnoseZFrame</t>
  </si>
  <si>
    <t>TopFrameLargeBullnoseZFrame</t>
  </si>
  <si>
    <t>BottomFrameLargeBullnoseZFrame</t>
  </si>
  <si>
    <t>Frame Type Match Product</t>
  </si>
  <si>
    <t>Frame Type Match Mounting Method</t>
  </si>
  <si>
    <t>Frame Type Index</t>
  </si>
  <si>
    <t>Large Bullnose Z Frame Material</t>
  </si>
  <si>
    <t>Paris Bone</t>
  </si>
  <si>
    <t>Paris Latte</t>
  </si>
  <si>
    <t>Control Side</t>
  </si>
  <si>
    <t>RollerControl</t>
  </si>
  <si>
    <t>Timber</t>
  </si>
  <si>
    <t>TimberN</t>
  </si>
  <si>
    <t>TimberT</t>
  </si>
  <si>
    <t>Timber Eco</t>
  </si>
  <si>
    <t>Fluffy_Strip_Timber_Eco</t>
  </si>
  <si>
    <t>Timber_Blade</t>
  </si>
  <si>
    <t>Cedar Image Medium (W868)</t>
  </si>
  <si>
    <t>Timber_Hinged_Frame_Type</t>
  </si>
  <si>
    <t>Timber_Double_Hinged_Frame_Type</t>
  </si>
  <si>
    <t>TimberExtrasOptionsPainted</t>
  </si>
  <si>
    <t>TimberExtraOptionsStd</t>
  </si>
  <si>
    <t>TimberExtrasOptions</t>
  </si>
  <si>
    <t>CedarImageMediumW868</t>
  </si>
  <si>
    <t>B1_Colour</t>
  </si>
  <si>
    <t>B10_Colour</t>
  </si>
  <si>
    <t>BL1_Colour</t>
  </si>
  <si>
    <t>BL11_Colour</t>
  </si>
  <si>
    <t>BL2_Colour</t>
  </si>
  <si>
    <t>BL9_Colour</t>
  </si>
  <si>
    <t>DS1_Colour</t>
  </si>
  <si>
    <t>DS6_Colour</t>
  </si>
  <si>
    <t>E1_Colour</t>
  </si>
  <si>
    <t>FR_S6_Colour</t>
  </si>
  <si>
    <t>LV1_Colour</t>
  </si>
  <si>
    <t>LV2_Colour</t>
  </si>
  <si>
    <t>S6_Colour</t>
  </si>
  <si>
    <t>S9_Colour</t>
  </si>
  <si>
    <t>ColourNA</t>
  </si>
  <si>
    <t>Vertical Stack</t>
  </si>
  <si>
    <t>Textured</t>
  </si>
  <si>
    <t>Blockout Woven</t>
  </si>
  <si>
    <t>Semi-Blockout</t>
  </si>
  <si>
    <t>Patterned</t>
  </si>
  <si>
    <t>Combination</t>
  </si>
  <si>
    <t>Fire Retardant</t>
  </si>
  <si>
    <t>Jacquard Weave</t>
  </si>
  <si>
    <t>Jacquard Crush</t>
  </si>
  <si>
    <t>Woven</t>
  </si>
  <si>
    <t>Product Type</t>
  </si>
  <si>
    <t>Head Box Colour</t>
  </si>
  <si>
    <t>Fabric Insert</t>
  </si>
  <si>
    <t>Over Roll Or 
Standard</t>
  </si>
  <si>
    <t>Blind m2</t>
  </si>
  <si>
    <t>Transition Range Blinds Product Type</t>
  </si>
  <si>
    <t>Stack</t>
  </si>
  <si>
    <t>Multi Shade</t>
  </si>
  <si>
    <t>Roman Shade</t>
  </si>
  <si>
    <t>Triple Shade</t>
  </si>
  <si>
    <t>Vertical Shade</t>
  </si>
  <si>
    <t>Stack Option</t>
  </si>
  <si>
    <t>Chain Cord Length</t>
  </si>
  <si>
    <t>Cord Colour</t>
  </si>
  <si>
    <t>Chain Only</t>
  </si>
  <si>
    <t>Chain &amp; Cord Selection</t>
  </si>
  <si>
    <t>Multi Shade Finish</t>
  </si>
  <si>
    <t>Roman Shade Finish</t>
  </si>
  <si>
    <t>Triple Shade Finish</t>
  </si>
  <si>
    <t>Vertical Shade Finish</t>
  </si>
  <si>
    <t>Colour Selection</t>
  </si>
  <si>
    <t>Fabric Insert Option</t>
  </si>
  <si>
    <t>Fabric Insert NA</t>
  </si>
  <si>
    <t>Fabric Insert Selection</t>
  </si>
  <si>
    <t>Colour Selection Product</t>
  </si>
  <si>
    <t>Colour Selection Finish</t>
  </si>
  <si>
    <t>Colour Selection Index</t>
  </si>
  <si>
    <t>Vertical Extension Bracket Option</t>
  </si>
  <si>
    <t>Vertical Extension Bracket Option NA</t>
  </si>
  <si>
    <t>Other Bottom Rail Colour</t>
  </si>
  <si>
    <t>Jacquard Crush Jacquard Weave Bottom Rail Colour</t>
  </si>
  <si>
    <t>Bottom Rail Option</t>
  </si>
  <si>
    <t>Over Roll Or Standard Multi Shade</t>
  </si>
  <si>
    <t>Over Roll Or Standard Roman Shade</t>
  </si>
  <si>
    <t>Over Roll Or Standard Triple Shade</t>
  </si>
  <si>
    <t>Over Roll Or Standard Selection</t>
  </si>
  <si>
    <t>Centre Bunch</t>
  </si>
  <si>
    <t>Beige</t>
  </si>
  <si>
    <t>Acorn B123</t>
  </si>
  <si>
    <t>Bamboo B1006</t>
  </si>
  <si>
    <t>Black Pepper BL114</t>
  </si>
  <si>
    <t>Ash BL1104</t>
  </si>
  <si>
    <t>Anthracite BL207</t>
  </si>
  <si>
    <t>Almond BL902</t>
  </si>
  <si>
    <t>Biscuit DS108</t>
  </si>
  <si>
    <t>Caramel DS603</t>
  </si>
  <si>
    <t>Barley E111</t>
  </si>
  <si>
    <t>Cornsilk FR-S603</t>
  </si>
  <si>
    <t>Cappuccino LV105</t>
  </si>
  <si>
    <t>Cocoa LV205</t>
  </si>
  <si>
    <t>Blue Lagoon S607</t>
  </si>
  <si>
    <t>Bali S910</t>
  </si>
  <si>
    <t>Over Roll</t>
  </si>
  <si>
    <t>Centre Open</t>
  </si>
  <si>
    <t>Alabaster B102</t>
  </si>
  <si>
    <t>Bonsai B1007</t>
  </si>
  <si>
    <t>Bone BL103</t>
  </si>
  <si>
    <t>Bisque BL1103</t>
  </si>
  <si>
    <t>Avocado BL205</t>
  </si>
  <si>
    <t>Bark BL912</t>
  </si>
  <si>
    <t>Burnt Sienna DS110</t>
  </si>
  <si>
    <t>Chai DS602</t>
  </si>
  <si>
    <t>Cool Mist E105</t>
  </si>
  <si>
    <t>Jasper FR-S611</t>
  </si>
  <si>
    <t>Maple LV104</t>
  </si>
  <si>
    <t>Grey LV203</t>
  </si>
  <si>
    <t>Blueberry S610</t>
  </si>
  <si>
    <t>Cumin S904</t>
  </si>
  <si>
    <t>One Way-Left</t>
  </si>
  <si>
    <t>Dark Brown</t>
  </si>
  <si>
    <t>Baby Blue B120</t>
  </si>
  <si>
    <t>Bracken B1008</t>
  </si>
  <si>
    <t>Burnt Almond BL113</t>
  </si>
  <si>
    <t>Cinnamon BL1102</t>
  </si>
  <si>
    <t>Beige BL203</t>
  </si>
  <si>
    <t>Chalk BL901</t>
  </si>
  <si>
    <t>Fawn DS103</t>
  </si>
  <si>
    <t>Chino DS604</t>
  </si>
  <si>
    <t>Daisy E101</t>
  </si>
  <si>
    <t>Mill FR-S606</t>
  </si>
  <si>
    <t>Polar LV101</t>
  </si>
  <si>
    <t>Natural LV201</t>
  </si>
  <si>
    <t>Boysenberry S612</t>
  </si>
  <si>
    <t>Maize S911</t>
  </si>
  <si>
    <t>One Way-Right</t>
  </si>
  <si>
    <t>Baby Pink B116</t>
  </si>
  <si>
    <t>Cherrywood B1011</t>
  </si>
  <si>
    <t>Carbon BL108</t>
  </si>
  <si>
    <t>Henna BL1105</t>
  </si>
  <si>
    <t>Brandy BL211</t>
  </si>
  <si>
    <t>Ginger BL905</t>
  </si>
  <si>
    <t>Ice DS101</t>
  </si>
  <si>
    <t>Coffee DS605</t>
  </si>
  <si>
    <t>Dusky Pink E106</t>
  </si>
  <si>
    <t>Oatmeal FR-S605</t>
  </si>
  <si>
    <t>Rhodium LV103</t>
  </si>
  <si>
    <t>Rust LV204</t>
  </si>
  <si>
    <t>Chocolate S611</t>
  </si>
  <si>
    <t>Pebble S903</t>
  </si>
  <si>
    <t>Blue Fizz B106</t>
  </si>
  <si>
    <t>Fossil B1003</t>
  </si>
  <si>
    <t>Champagne BL102</t>
  </si>
  <si>
    <t>Pearl BL1101</t>
  </si>
  <si>
    <t>Brownie BL212</t>
  </si>
  <si>
    <t>Iron Ore BL904</t>
  </si>
  <si>
    <t>Malted Milk DS102</t>
  </si>
  <si>
    <t>Cream DS601</t>
  </si>
  <si>
    <t>French Vanilla E103</t>
  </si>
  <si>
    <t>Soft White FR-S602</t>
  </si>
  <si>
    <t>Slate LV107</t>
  </si>
  <si>
    <t>Sandstone LV202</t>
  </si>
  <si>
    <t>Desert S605</t>
  </si>
  <si>
    <t>Pewter S905</t>
  </si>
  <si>
    <t>Light Brown</t>
  </si>
  <si>
    <t>Charcoal B112</t>
  </si>
  <si>
    <t>Mercury B1005</t>
  </si>
  <si>
    <t>Cherry BL111</t>
  </si>
  <si>
    <t>Coal BL213</t>
  </si>
  <si>
    <t>Jade BL910</t>
  </si>
  <si>
    <t>Mushroom DS104</t>
  </si>
  <si>
    <t>Espresso DS606</t>
  </si>
  <si>
    <t>Latte E107</t>
  </si>
  <si>
    <t>Wheat FR-S604</t>
  </si>
  <si>
    <t>Soot LV106</t>
  </si>
  <si>
    <t>Shiraz LV206</t>
  </si>
  <si>
    <t>Eggshell S603</t>
  </si>
  <si>
    <t>Reed S912</t>
  </si>
  <si>
    <t>Rose</t>
  </si>
  <si>
    <t>Cheesecake B114</t>
  </si>
  <si>
    <t>Meringue B1001</t>
  </si>
  <si>
    <t>Lavender BL110</t>
  </si>
  <si>
    <t>Copper BL204</t>
  </si>
  <si>
    <t>Mandarin BL906</t>
  </si>
  <si>
    <t>Sesame Seed DS107</t>
  </si>
  <si>
    <t>Magnolia E102</t>
  </si>
  <si>
    <t>Straw LV102</t>
  </si>
  <si>
    <t>Fox S604</t>
  </si>
  <si>
    <t>Snowflake S901</t>
  </si>
  <si>
    <t>Chinchilla B110</t>
  </si>
  <si>
    <t>Onyx B1012</t>
  </si>
  <si>
    <t>Mahogany BL112</t>
  </si>
  <si>
    <t>Lily BL201</t>
  </si>
  <si>
    <t>Merlot BL909</t>
  </si>
  <si>
    <t>Steel Wool DS105</t>
  </si>
  <si>
    <t>Pine Nut E112</t>
  </si>
  <si>
    <t>Ghost White S601</t>
  </si>
  <si>
    <t>Stone S908</t>
  </si>
  <si>
    <t>Earth B111</t>
  </si>
  <si>
    <t>Sorbet B1004</t>
  </si>
  <si>
    <t>Mouse BL109</t>
  </si>
  <si>
    <t>Sky BL206</t>
  </si>
  <si>
    <t>Midnight BL913</t>
  </si>
  <si>
    <t>Pistachio E110</t>
  </si>
  <si>
    <t>Light Olive S608</t>
  </si>
  <si>
    <t>Grape B115</t>
  </si>
  <si>
    <t>Spun Sugar B1002</t>
  </si>
  <si>
    <t>Mustard BL104</t>
  </si>
  <si>
    <t>Storm BL208</t>
  </si>
  <si>
    <t>Musk BL903</t>
  </si>
  <si>
    <t>Sahara Sand E104</t>
  </si>
  <si>
    <t>Ivory B121</t>
  </si>
  <si>
    <t>Thistle B1009</t>
  </si>
  <si>
    <t>Powder Blue BL107</t>
  </si>
  <si>
    <t>Thundercloud BL209</t>
  </si>
  <si>
    <t>Otter BL907</t>
  </si>
  <si>
    <t>Wine E109</t>
  </si>
  <si>
    <t>Popped Corn S602</t>
  </si>
  <si>
    <t>Lime B108</t>
  </si>
  <si>
    <t>Walnut B1010</t>
  </si>
  <si>
    <t>Salt BL101</t>
  </si>
  <si>
    <t>Truffle BL210</t>
  </si>
  <si>
    <t>Purple S609</t>
  </si>
  <si>
    <t>Marble B109</t>
  </si>
  <si>
    <t>Tangerine BL105</t>
  </si>
  <si>
    <t>Vanilla Lush BL202</t>
  </si>
  <si>
    <t>Steel BL911</t>
  </si>
  <si>
    <t>Titanium S606</t>
  </si>
  <si>
    <t>Mint B119</t>
  </si>
  <si>
    <t>Watermelon BL106</t>
  </si>
  <si>
    <t>Mocha B122</t>
  </si>
  <si>
    <t>Peach B103</t>
  </si>
  <si>
    <t>Pink Fizz B105</t>
  </si>
  <si>
    <t>Platinum B125</t>
  </si>
  <si>
    <t>Pumice B107</t>
  </si>
  <si>
    <t>Rustic B118</t>
  </si>
  <si>
    <t>Smoke B124</t>
  </si>
  <si>
    <t>Snowy B101</t>
  </si>
  <si>
    <t>Tan B117</t>
  </si>
  <si>
    <t>Violet B104</t>
  </si>
  <si>
    <t>Zest B113</t>
  </si>
  <si>
    <t>Dark Red</t>
  </si>
  <si>
    <t>Store Name</t>
  </si>
  <si>
    <t>#</t>
  </si>
  <si>
    <t>Delivery Address</t>
  </si>
  <si>
    <t>Panels Fixed With Light Stop Beading</t>
  </si>
  <si>
    <t>Panels Fixed With Light Stop Beading, Front &amp; Back</t>
  </si>
  <si>
    <t>This Section Can Be Used To Enter Your Store Names &amp; Delivery Addresses.
Please Enter &amp; Update The Details In The Sections Provided &amp; This Will Automatically Populate Into The Summary Section &amp; Then The Individual Order Forms.</t>
  </si>
  <si>
    <t>Transition</t>
  </si>
  <si>
    <t>Fauxwood Eco Air</t>
  </si>
  <si>
    <t>Fauxwood Eco Elite</t>
  </si>
  <si>
    <t>CMBEmail</t>
  </si>
  <si>
    <t>ShutterEmail</t>
  </si>
  <si>
    <t>CMBPhone</t>
  </si>
  <si>
    <t>ShutterPhone</t>
  </si>
  <si>
    <t>support@pacificwholesale.com.au</t>
  </si>
  <si>
    <t>Tel. +61 2 8850 9312</t>
  </si>
  <si>
    <t>Top &amp; Bottom Rail, 137.5mm x 21mm - Standard Profile</t>
  </si>
  <si>
    <t>Divider Rail/Mid Rail (Centre Rail), 79.5mm x 21mm - Standard Profile</t>
  </si>
  <si>
    <t>TopBottom Rail 137.5mm x 21mmReinforced Profile</t>
  </si>
  <si>
    <t>Divider RailMid Rail Centre Rail 79.5mm x 21mm Reinforced Profile</t>
  </si>
  <si>
    <t>Metal Return Clip For Fascia</t>
  </si>
  <si>
    <t>60mm Plain Stiles (Supplied With Astragal/D Mould Stiles Only)</t>
  </si>
  <si>
    <t>Tel. +61 2 8850 9305</t>
  </si>
  <si>
    <t>Top &amp; Bottom Rail, 152mm x 19mm - Reinforced Curved Profile</t>
  </si>
  <si>
    <t>Divider Rail/Mid Rail (Centre Rail), 98mm x 19mm - Reinforced Curved Profile</t>
  </si>
  <si>
    <t>Tel. +61 2 8850 9306</t>
  </si>
  <si>
    <t>service@pacificwholesale.com.au</t>
  </si>
  <si>
    <t>Before Sending The Order:
1. Please Check The Quantity's Below Are Correct. 
2. When Complete, Save In This Tab And Email To Pacific Wholesale To The Appropriate Email Address.</t>
  </si>
  <si>
    <t>Stacey Carsburg</t>
  </si>
  <si>
    <r>
      <t>CUSTOM MADE BLINDS GO TO:</t>
    </r>
    <r>
      <rPr>
        <sz val="10"/>
        <color indexed="10"/>
        <rFont val="Arial"/>
        <family val="2"/>
      </rPr>
      <t/>
    </r>
  </si>
  <si>
    <r>
      <t xml:space="preserve">PACIFIC BLINDS SALES COORDINATOR </t>
    </r>
    <r>
      <rPr>
        <i/>
        <sz val="10"/>
        <rFont val="Arial"/>
        <family val="2"/>
      </rPr>
      <t>(PWD Internal Use)</t>
    </r>
  </si>
  <si>
    <t>Premium Blockout Woven</t>
  </si>
  <si>
    <t>Cold Metal BL2004</t>
  </si>
  <si>
    <t>Desert Sand BL2003</t>
  </si>
  <si>
    <t>Espresso BL2008</t>
  </si>
  <si>
    <t>Honeycomb BL2006</t>
  </si>
  <si>
    <t>Latte BL2002</t>
  </si>
  <si>
    <t>Natural BL2001</t>
  </si>
  <si>
    <t>Slate BL2005</t>
  </si>
  <si>
    <t>Walnut BL2007</t>
  </si>
  <si>
    <t>BL20_Colour</t>
  </si>
  <si>
    <t>CMBPhone2</t>
  </si>
  <si>
    <t xml:space="preserve"> +61 2 8850 9306</t>
  </si>
  <si>
    <t xml:space="preserve"> +61 2 8850 9305</t>
  </si>
  <si>
    <t xml:space="preserve"> +61 2 8850 9312</t>
  </si>
  <si>
    <t>Phone: +61 2 8850 9312</t>
  </si>
  <si>
    <t>Battery Operated Motor - Remote</t>
  </si>
  <si>
    <t>Battery Operated Motor - No Remote</t>
  </si>
  <si>
    <t>ChainMotor</t>
  </si>
  <si>
    <t>Motorised Remote</t>
  </si>
  <si>
    <t>Motorised No Remote</t>
  </si>
  <si>
    <t>50mm Shaded Grey P305</t>
  </si>
  <si>
    <t>50mm Silver Button P304</t>
  </si>
  <si>
    <t>Priscilla Serio</t>
  </si>
  <si>
    <t>Samantha Doak</t>
  </si>
  <si>
    <t>Premium Blockout</t>
  </si>
  <si>
    <t>Premium Room Darkening</t>
  </si>
  <si>
    <t>Premium Woven Room Darkening</t>
  </si>
  <si>
    <t>B5_Colour</t>
  </si>
  <si>
    <t>BL30_Colour</t>
  </si>
  <si>
    <t>Cotton BL201</t>
  </si>
  <si>
    <t>Chocolate BL212</t>
  </si>
  <si>
    <t>Grey BL207</t>
  </si>
  <si>
    <t>Macadamia BL202</t>
  </si>
  <si>
    <t>Metal BL208</t>
  </si>
  <si>
    <t>Sand BL203</t>
  </si>
  <si>
    <t>Taupe BL210</t>
  </si>
  <si>
    <t>Ash B512</t>
  </si>
  <si>
    <t>Autumn B505</t>
  </si>
  <si>
    <t>Haze B514</t>
  </si>
  <si>
    <t>Ivory B501</t>
  </si>
  <si>
    <t>Light Bark B504</t>
  </si>
  <si>
    <t>Marshmallow B511</t>
  </si>
  <si>
    <t>Mocha B506</t>
  </si>
  <si>
    <t>Peacock B503</t>
  </si>
  <si>
    <t>Safari B513</t>
  </si>
  <si>
    <t>Sandstone B502</t>
  </si>
  <si>
    <t>Storm B515</t>
  </si>
  <si>
    <t>Champagne BL3004</t>
  </si>
  <si>
    <t>Dark Pebble BL3007</t>
  </si>
  <si>
    <t>Dusk BL3005</t>
  </si>
  <si>
    <t>Oak BL3006</t>
  </si>
  <si>
    <t>Oatmeal BL3003</t>
  </si>
  <si>
    <t>Silver BL3001</t>
  </si>
  <si>
    <t>Warm Grey BL3002</t>
  </si>
  <si>
    <t>BL2PRD_Colour</t>
  </si>
  <si>
    <t>45mm Single Cellular Blind</t>
  </si>
  <si>
    <t>Blockout Bamboo Print</t>
  </si>
  <si>
    <t>Translucent Crepe Woven</t>
  </si>
  <si>
    <t>Translucent Bamboo Print</t>
  </si>
  <si>
    <t>Translucent Sheer A</t>
  </si>
  <si>
    <t>Translucent Slub Woven</t>
  </si>
  <si>
    <t>Corded Standard 45mm Single</t>
  </si>
  <si>
    <t>Corded Day Night 45mm Single</t>
  </si>
  <si>
    <t>Corded Top Down Bottom Up 45mm Single</t>
  </si>
  <si>
    <t>Cordless Standard 45mm Single</t>
  </si>
  <si>
    <t>Cordless Day Night 45mm Single</t>
  </si>
  <si>
    <t>Cordless Top Down Bottom Up 45mm Single</t>
  </si>
  <si>
    <t>Clutch Standard 45mm Single</t>
  </si>
  <si>
    <t>Clutch Day Night 45mm Single</t>
  </si>
  <si>
    <t>Clutch Top Down Bottom Up 45mm Single</t>
  </si>
  <si>
    <t>Motorised Battery 45mm Single</t>
  </si>
  <si>
    <t>Motorised Hardwired 45mm Single</t>
  </si>
  <si>
    <t>Translucent Lux-Linen</t>
  </si>
  <si>
    <t>Translucent Marble</t>
  </si>
  <si>
    <t>Translucent Sala</t>
  </si>
  <si>
    <t>Translucent Woodgrain</t>
  </si>
  <si>
    <t>Bamboo Print Antique Pewter</t>
  </si>
  <si>
    <t>Bamboo Print Avocado</t>
  </si>
  <si>
    <t>Bamboo Print Dark Chocolate</t>
  </si>
  <si>
    <t>Bamboo Print Dark Gray B</t>
  </si>
  <si>
    <t>Bamboo Print Gray Sheen</t>
  </si>
  <si>
    <t>Bamboo Print Jean Blue</t>
  </si>
  <si>
    <t>Bamboo Print Pongee</t>
  </si>
  <si>
    <t>Bamboo Print Royal Gray</t>
  </si>
  <si>
    <t>Bamboo Print Sticks &amp; Stones</t>
  </si>
  <si>
    <t>Cornsilk A</t>
  </si>
  <si>
    <t>Espresso A</t>
  </si>
  <si>
    <t>Fawn A</t>
  </si>
  <si>
    <t>Fire Brick A</t>
  </si>
  <si>
    <t>Light Aquamarine</t>
  </si>
  <si>
    <t>Light Olive Green</t>
  </si>
  <si>
    <t>Mink A</t>
  </si>
  <si>
    <t>Royal Gray A</t>
  </si>
  <si>
    <t>Sangria A</t>
  </si>
  <si>
    <t>Tumbleweed</t>
  </si>
  <si>
    <t>Antique Red</t>
  </si>
  <si>
    <t>Bottle Of Bordeaux</t>
  </si>
  <si>
    <t>Fresh Brew</t>
  </si>
  <si>
    <t>In The Navy</t>
  </si>
  <si>
    <t>Poppyseed</t>
  </si>
  <si>
    <t>Salamander</t>
  </si>
  <si>
    <t>Silhouette</t>
  </si>
  <si>
    <t>Silken Peacock</t>
  </si>
  <si>
    <t>Stormy Sky</t>
  </si>
  <si>
    <t>Argos White</t>
  </si>
  <si>
    <t>Gray White</t>
  </si>
  <si>
    <t>Passive White</t>
  </si>
  <si>
    <t>Stone Harbour</t>
  </si>
  <si>
    <t>Stormy Gray</t>
  </si>
  <si>
    <t>Amazing Worldly Gray</t>
  </si>
  <si>
    <t>Gray Online</t>
  </si>
  <si>
    <t>Gray Ponder</t>
  </si>
  <si>
    <t>Passive</t>
  </si>
  <si>
    <t>Worldly Gray</t>
  </si>
  <si>
    <t>Accessible Beige</t>
  </si>
  <si>
    <t>Amazing Gray</t>
  </si>
  <si>
    <t>Gray Matters</t>
  </si>
  <si>
    <t>Gray Screen</t>
  </si>
  <si>
    <t>Tony Taupe</t>
  </si>
  <si>
    <t xml:space="preserve">Poppyseed </t>
  </si>
  <si>
    <t>Chantilly Lace</t>
  </si>
  <si>
    <t>Cotswold</t>
  </si>
  <si>
    <t>Hazy Skies</t>
  </si>
  <si>
    <t>Taos Taupe</t>
  </si>
  <si>
    <t>Gray Sheen</t>
  </si>
  <si>
    <t xml:space="preserve"> 45mm Single Cell Blockout Standard</t>
  </si>
  <si>
    <t xml:space="preserve"> 38mm Single Cell Blockout Bamboo Print</t>
  </si>
  <si>
    <t xml:space="preserve"> 38mm Single Cell Translucent Crepe Woven</t>
  </si>
  <si>
    <t xml:space="preserve"> 38mm Single Cell Translucent Sheer A</t>
  </si>
  <si>
    <t xml:space="preserve"> 38mm Single Cell Translucent Bamboo Print</t>
  </si>
  <si>
    <t xml:space="preserve"> 38mm Single Cell Translucent Slub Woven</t>
  </si>
  <si>
    <t xml:space="preserve"> 45mm Single Cell Translucent Standard</t>
  </si>
  <si>
    <t xml:space="preserve"> 45mm Single Cell Translucent Marble</t>
  </si>
  <si>
    <t xml:space="preserve"> 45mm Single Cell Translucent Sala</t>
  </si>
  <si>
    <t xml:space="preserve"> 45mm Single Cell Translucent Sheer</t>
  </si>
  <si>
    <t xml:space="preserve"> 45mm Single Cell Translucent Woodgrain</t>
  </si>
  <si>
    <t>Cellular Colour 2 45mm Single Cellular Blind</t>
  </si>
  <si>
    <t>Standard Antique Red</t>
  </si>
  <si>
    <t>Standard Bottle Of Bordeaux</t>
  </si>
  <si>
    <t>Standard Fresh Brew</t>
  </si>
  <si>
    <t>Standard In The Navy</t>
  </si>
  <si>
    <t>Standard Poppyseed</t>
  </si>
  <si>
    <t>Standard Salamander</t>
  </si>
  <si>
    <t>Standard Silhouette</t>
  </si>
  <si>
    <t>Standard Silken Peacock</t>
  </si>
  <si>
    <t>Standard Stormy Sky</t>
  </si>
  <si>
    <t>Standard Federal Blue</t>
  </si>
  <si>
    <t xml:space="preserve"> 38mm Single Cellular Blind Day Night Blockout Colours</t>
  </si>
  <si>
    <t>Sala Argos White</t>
  </si>
  <si>
    <t>Sala Gray White</t>
  </si>
  <si>
    <t>Sala Passive White</t>
  </si>
  <si>
    <t>Sala Stone Harbour</t>
  </si>
  <si>
    <t>Sala Stormy Gray</t>
  </si>
  <si>
    <t>Marble Amazing Worldly Gray</t>
  </si>
  <si>
    <t>Marble Gray Ponder</t>
  </si>
  <si>
    <t>Marble Passive</t>
  </si>
  <si>
    <t>Marble Worldly Gray</t>
  </si>
  <si>
    <t>Marble Gray Online</t>
  </si>
  <si>
    <t>Woodgrain Accessible Beige</t>
  </si>
  <si>
    <t>Woodgrain Amazing Gray</t>
  </si>
  <si>
    <t>Woodgrain Gray Matters</t>
  </si>
  <si>
    <t>Woodgrain Gray Screen</t>
  </si>
  <si>
    <t>Woodgrain Tony Taupe</t>
  </si>
  <si>
    <t>Lux-Linen Chantilly Lace</t>
  </si>
  <si>
    <t>Lux-Linen Cotswold</t>
  </si>
  <si>
    <t>Lux-Linen Cotton</t>
  </si>
  <si>
    <t>Lux-Linen Hazy Skies</t>
  </si>
  <si>
    <t>Lux-Linen Royal Gray A</t>
  </si>
  <si>
    <t>Lux-Linen Taos Taupe</t>
  </si>
  <si>
    <t>Sheer Gray Sheen</t>
  </si>
  <si>
    <t>Sheer A Cotton</t>
  </si>
  <si>
    <t>Sheer A Alabaster</t>
  </si>
  <si>
    <t xml:space="preserve">Sheer A Gray Sheen </t>
  </si>
  <si>
    <t xml:space="preserve">Sheer A Snow White </t>
  </si>
  <si>
    <t>Slub Woven Alabaster</t>
  </si>
  <si>
    <t>Slub Woven Black</t>
  </si>
  <si>
    <t>Slub Woven Cocoa</t>
  </si>
  <si>
    <t>Slub Woven Cotton</t>
  </si>
  <si>
    <t xml:space="preserve">Slub Woven Gray Sheen </t>
  </si>
  <si>
    <t>Crepe Woven Chocolate</t>
  </si>
  <si>
    <t>Crepe Woven Cornsilk A</t>
  </si>
  <si>
    <t>Crepe Woven Cotton</t>
  </si>
  <si>
    <t>Crepe Woven Espresso A</t>
  </si>
  <si>
    <t>Crepe Woven Fawn A</t>
  </si>
  <si>
    <t>Crepe Woven Fire Brick A</t>
  </si>
  <si>
    <t>Crepe Woven Light Aquamarine</t>
  </si>
  <si>
    <t>Crepe Woven Light Olive Green</t>
  </si>
  <si>
    <t>Crepe Woven Mink A</t>
  </si>
  <si>
    <t>Crepe Woven Royal Gray A</t>
  </si>
  <si>
    <t>Crepe Woven Sangria A</t>
  </si>
  <si>
    <t>Crepe Woven Tumbleweed</t>
  </si>
  <si>
    <t>45mm Single</t>
  </si>
  <si>
    <t>Anthracite</t>
  </si>
  <si>
    <t>Antique Pewter</t>
  </si>
  <si>
    <t>Cloak Gray</t>
  </si>
  <si>
    <t>Cyberspace</t>
  </si>
  <si>
    <t>Dark Chocolate</t>
  </si>
  <si>
    <t>Pier</t>
  </si>
  <si>
    <t>Roycroft Bottle Green</t>
  </si>
  <si>
    <t>Roycroft Mist Gray</t>
  </si>
  <si>
    <t>Sticks &amp; Stones</t>
  </si>
  <si>
    <t>Warm Cocoa</t>
  </si>
  <si>
    <t>Aqua Glass</t>
  </si>
  <si>
    <t>Buff Yellow</t>
  </si>
  <si>
    <t>Crystal Pink</t>
  </si>
  <si>
    <t>Gray Ridge</t>
  </si>
  <si>
    <t>Orion Blue</t>
  </si>
  <si>
    <t>Frech Press</t>
  </si>
  <si>
    <t>Standard Anthracite</t>
  </si>
  <si>
    <t>Standard Antique Pewter</t>
  </si>
  <si>
    <t>Standard Cloak Gray</t>
  </si>
  <si>
    <t>Standard Cyberspace</t>
  </si>
  <si>
    <t>Standard Dark Chocolate</t>
  </si>
  <si>
    <t>Standard Pier</t>
  </si>
  <si>
    <t>Standard Roycroft Bottle Green</t>
  </si>
  <si>
    <t>Standard Roycroft Mist Gray</t>
  </si>
  <si>
    <t>Standard Sticks &amp; Stones</t>
  </si>
  <si>
    <t>Standard Warm Cocoa</t>
  </si>
  <si>
    <t>Standard White Dove</t>
  </si>
  <si>
    <t>Linen Royal Gray</t>
  </si>
  <si>
    <t>Sheer Anthracite</t>
  </si>
  <si>
    <t>Woven Anthracite</t>
  </si>
  <si>
    <t>Woven Antique Pewter</t>
  </si>
  <si>
    <t>Woven Frech Press</t>
  </si>
  <si>
    <t>Woven Ironstone</t>
  </si>
  <si>
    <t>Woven White Dove</t>
  </si>
  <si>
    <t>Standard Aqua Glass</t>
  </si>
  <si>
    <t>Standard Buff Yellow</t>
  </si>
  <si>
    <t>Standard Crystal Pink</t>
  </si>
  <si>
    <t>Standard Gray Ridge</t>
  </si>
  <si>
    <t>Standard Orion Blue</t>
  </si>
  <si>
    <t>Sheer Avocado</t>
  </si>
  <si>
    <t>Sheer Black</t>
  </si>
  <si>
    <t xml:space="preserve">Sheer Gray Sheen </t>
  </si>
  <si>
    <t>Sheer Pink Flamingo</t>
  </si>
  <si>
    <t xml:space="preserve">Sheer Pink Flamingo </t>
  </si>
  <si>
    <t xml:space="preserve">Sheer Avocado </t>
  </si>
  <si>
    <t xml:space="preserve"> 45mm Single Cell Translucent Lux_Linen</t>
  </si>
  <si>
    <t>Motorised Standard</t>
  </si>
  <si>
    <t>Motorised Day Night</t>
  </si>
  <si>
    <t>Motorised Top Down, Bottom Up</t>
  </si>
  <si>
    <t>Motorised Standard 38mm Double</t>
  </si>
  <si>
    <t>Motorised Day Night 38mm Double</t>
  </si>
  <si>
    <t>Motorised Top Down Bottom Up 38mm Double</t>
  </si>
  <si>
    <t>Motorised Standard 38mm Single</t>
  </si>
  <si>
    <t>Motorised Day Night 38mm Single</t>
  </si>
  <si>
    <t>Motorised Top Down Bottom Up 38mm Single</t>
  </si>
  <si>
    <t>Motorised Standard 25mm Single</t>
  </si>
  <si>
    <t>Motorised Day Night 25mm Single</t>
  </si>
  <si>
    <t>Motorised Top Down Bottom Up 25mm Single</t>
  </si>
  <si>
    <t>Motorised Standard 45mm Single</t>
  </si>
  <si>
    <t>Motorised Day Night 45mm Single</t>
  </si>
  <si>
    <t>Motorised Top Down Bottom Up 45mm Single</t>
  </si>
  <si>
    <t>Control Motorised</t>
  </si>
  <si>
    <t>Katrina Sosa</t>
  </si>
  <si>
    <t>Beth Boord</t>
  </si>
  <si>
    <t>Control Motorised DNTDBU</t>
  </si>
  <si>
    <t>Semi Blockout Grain</t>
  </si>
  <si>
    <t>Semi Blockout Textured</t>
  </si>
  <si>
    <t>Privacy Textured</t>
  </si>
  <si>
    <t>Privacy Grain</t>
  </si>
  <si>
    <t>Privacy Large</t>
  </si>
  <si>
    <t>Semi Blockout</t>
  </si>
  <si>
    <t>Privacy Standard</t>
  </si>
  <si>
    <t>Blonde BL4602</t>
  </si>
  <si>
    <t>Dust BL4604</t>
  </si>
  <si>
    <t>Snow BL4600</t>
  </si>
  <si>
    <t>Frost BL4601</t>
  </si>
  <si>
    <t>Pebble BL4611</t>
  </si>
  <si>
    <t>BL46_Colour</t>
  </si>
  <si>
    <t>Oat BL4803</t>
  </si>
  <si>
    <t>Iron BL4806</t>
  </si>
  <si>
    <t>Pale BL5202</t>
  </si>
  <si>
    <t>Cream BL5203</t>
  </si>
  <si>
    <t>Hazel BL5205</t>
  </si>
  <si>
    <t>Chiffon BL5206</t>
  </si>
  <si>
    <t>Smoky BL5208</t>
  </si>
  <si>
    <t>Ocean BL5209</t>
  </si>
  <si>
    <t>Royal BL5210</t>
  </si>
  <si>
    <t>Leather BL5211</t>
  </si>
  <si>
    <t>Porcelain BL5001</t>
  </si>
  <si>
    <t>Lace BL5002</t>
  </si>
  <si>
    <t>Linen BL5003</t>
  </si>
  <si>
    <t>Coin BL5004</t>
  </si>
  <si>
    <t>Shadow BL5006</t>
  </si>
  <si>
    <t>Biscuit BL5802</t>
  </si>
  <si>
    <t>Honey BL5803</t>
  </si>
  <si>
    <t>Seal BL5805</t>
  </si>
  <si>
    <t>Spruce BL5806</t>
  </si>
  <si>
    <t>Steel Blue BL5807</t>
  </si>
  <si>
    <t>Powder SP101</t>
  </si>
  <si>
    <t>Umber SP104</t>
  </si>
  <si>
    <t>Pearl SP1001</t>
  </si>
  <si>
    <t>Pewter SP1003</t>
  </si>
  <si>
    <t>Hazelnut SH202</t>
  </si>
  <si>
    <t>Fawn SH203</t>
  </si>
  <si>
    <t>Cedar SH206</t>
  </si>
  <si>
    <t>Cloud BL4801</t>
  </si>
  <si>
    <t>Dove BL4802</t>
  </si>
  <si>
    <t>Stone BL4804</t>
  </si>
  <si>
    <t>Hazy BL4805</t>
  </si>
  <si>
    <t>Daisy BL5201</t>
  </si>
  <si>
    <t>Bone BL5204</t>
  </si>
  <si>
    <t>Ashen BL5207</t>
  </si>
  <si>
    <t>Coffee BL5005</t>
  </si>
  <si>
    <t>Bright Silver BL5801</t>
  </si>
  <si>
    <t>Steel Grey BL5804</t>
  </si>
  <si>
    <t>Jet Black BL5808</t>
  </si>
  <si>
    <t>Beige SP102</t>
  </si>
  <si>
    <t>Lead SP103</t>
  </si>
  <si>
    <t>Buttermilk SP1002</t>
  </si>
  <si>
    <t>Wood SP1004</t>
  </si>
  <si>
    <t>Coconut SH201</t>
  </si>
  <si>
    <t>Soft Grey SH204</t>
  </si>
  <si>
    <t>Graphite SH205</t>
  </si>
  <si>
    <t>Multi Shade, Semi Blockout Grain</t>
  </si>
  <si>
    <t>BL48_Colour</t>
  </si>
  <si>
    <t>Multi Shade, Semi Blockout Textured</t>
  </si>
  <si>
    <t>BL52_Colour</t>
  </si>
  <si>
    <t>Multi Shade, Privacy Textured</t>
  </si>
  <si>
    <t>Multi Shade, Privacy Grain</t>
  </si>
  <si>
    <t>Triple Shade, Jacquard Weave</t>
  </si>
  <si>
    <t>BL50_Colour</t>
  </si>
  <si>
    <t>Multi Shade, Privacy Large</t>
  </si>
  <si>
    <t>Triple Shade, Semi Blockout</t>
  </si>
  <si>
    <t>Triple Shade, Privacy Standard</t>
  </si>
  <si>
    <t>BL58_Colour</t>
  </si>
  <si>
    <t>SP1_Colour</t>
  </si>
  <si>
    <t>SP10_Colour</t>
  </si>
  <si>
    <t>SH2_Colour</t>
  </si>
  <si>
    <t>Privacy/Blockout Standard</t>
  </si>
  <si>
    <t>Privacy/Blockout Woven</t>
  </si>
  <si>
    <t>Powered Operated Motor With Power Adapter (Hardwired Motor) - Left Side Wand</t>
  </si>
  <si>
    <t>Powered Operated Motor With Power Adapter (Hardwired Motor) - Right Side Wand</t>
  </si>
  <si>
    <t>Powered Operated Motor With Power Adapter (Hardwired Motor) - Remote</t>
  </si>
  <si>
    <t>Powered Operated Motor With Power Adapter (Hardwired Motor) - No Remote</t>
  </si>
  <si>
    <t>Rechargeable Battery Operated Motor With Power Adapter - Left Side Wand</t>
  </si>
  <si>
    <t>Rechargeable Battery Operated Motor With Power Adapter - Right Side Wand</t>
  </si>
  <si>
    <t>Rechargeable Battery Operated Motor With Power Adapter - Remote</t>
  </si>
  <si>
    <t>Rechargeable Battery Operated Motor With Power Adapter - No Remote</t>
  </si>
  <si>
    <t>45mm Single Cellular Cell In A Cell Blind</t>
  </si>
  <si>
    <t>Corded Standard 45mm Single Cell In A Cell</t>
  </si>
  <si>
    <t>Corded Day Night 45mm Single Cell In A Cell</t>
  </si>
  <si>
    <t>Corded Top Down Bottom Up 45mm Single Cell In A Cell</t>
  </si>
  <si>
    <t>Cordless Standard 45mm Single Cell In A Cell</t>
  </si>
  <si>
    <t>Cordless Day Night 45mm Single Cell In A Cell</t>
  </si>
  <si>
    <t>Cordless Top Down Bottom Up 45mm Single Cell In A Cell</t>
  </si>
  <si>
    <t>Clutch Standard 45mm Single Cell In A Cell</t>
  </si>
  <si>
    <t>Clutch Day Night 45mm Single Cell In A Cell</t>
  </si>
  <si>
    <t>Clutch Top Down Bottom Up 45mm Single Cell In A Cell</t>
  </si>
  <si>
    <t>Motorised Battery 45mm Single Cell In A Cell</t>
  </si>
  <si>
    <t>Motorised Hardwired 45mm Single Cell In A Cell</t>
  </si>
  <si>
    <t>Motorised Standard 45mm Single Cell In A Cell</t>
  </si>
  <si>
    <t>Motorised Day Night 45mm Single Cell In A Cell</t>
  </si>
  <si>
    <t>Motorised Top Down Bottom Up 45mm Single Cell In A Cell</t>
  </si>
  <si>
    <t>Blockout Sala</t>
  </si>
  <si>
    <t>Blockout Marble</t>
  </si>
  <si>
    <t>Blockout Woodgrain</t>
  </si>
  <si>
    <t>Blockout Lux-Linen</t>
  </si>
  <si>
    <t>Blockout Woodgrain Linen</t>
  </si>
  <si>
    <t>Translucent Woodgrain Linen</t>
  </si>
  <si>
    <t>Acacia Haze</t>
  </si>
  <si>
    <t>Gourmet Chocolate</t>
  </si>
  <si>
    <t>Gray Moss</t>
  </si>
  <si>
    <t>Navy</t>
  </si>
  <si>
    <t>Plebian Blue</t>
  </si>
  <si>
    <t>Stallion</t>
  </si>
  <si>
    <t>Wild Ginger</t>
  </si>
  <si>
    <t>Stone Harbor</t>
  </si>
  <si>
    <t>Blanched Almond A</t>
  </si>
  <si>
    <t>Beige B</t>
  </si>
  <si>
    <t>Coral Black</t>
  </si>
  <si>
    <t>Dawn Gray</t>
  </si>
  <si>
    <t>Blue Wind</t>
  </si>
  <si>
    <t>Light Walnut</t>
  </si>
  <si>
    <t>Classic Gray</t>
  </si>
  <si>
    <t>Silver Gray</t>
  </si>
  <si>
    <t>Gray Storm</t>
  </si>
  <si>
    <t>Ivory A</t>
  </si>
  <si>
    <t>Taupe B</t>
  </si>
  <si>
    <t>Skylight Cordless</t>
  </si>
  <si>
    <t>Skylight Motorised Remote</t>
  </si>
  <si>
    <t>Multi Shade, Eco Friendly</t>
  </si>
  <si>
    <t>Frosted GRS101</t>
  </si>
  <si>
    <t>Camel GRS102</t>
  </si>
  <si>
    <t>Stormy Grey GRS103</t>
  </si>
  <si>
    <t>Thunder GRS104</t>
  </si>
  <si>
    <t>GRS1_Colour</t>
  </si>
  <si>
    <t>Eco Friendly</t>
  </si>
  <si>
    <t>Skylight Product</t>
  </si>
  <si>
    <t>WindowTypeSkylight</t>
  </si>
  <si>
    <t>Skylight Cordless Control</t>
  </si>
  <si>
    <t>Skylight Motorised Remote Control</t>
  </si>
  <si>
    <t>None - With Extendable Pole (914.4mm - 1676.4mm)</t>
  </si>
  <si>
    <t>Motor Power Side</t>
  </si>
  <si>
    <t>Control Skylight Cordless</t>
  </si>
  <si>
    <t>Control Skylight Motorised Remote</t>
  </si>
  <si>
    <t>Motor Side Table</t>
  </si>
  <si>
    <t>Motor Side Yes</t>
  </si>
  <si>
    <t>Motor Side No</t>
  </si>
  <si>
    <t>Motor Side</t>
  </si>
  <si>
    <t xml:space="preserve">Standard Poppyseed </t>
  </si>
  <si>
    <t>Woodgrain Linen Blanched Almond A</t>
  </si>
  <si>
    <t>Woodgrain Linen Coral Black</t>
  </si>
  <si>
    <t>Woodgrain Linen Dawn Gray</t>
  </si>
  <si>
    <t>Woodgrain Linen Light Walnut</t>
  </si>
  <si>
    <t>Woodgrain Linen Silver Gray</t>
  </si>
  <si>
    <t>Sala Stone Harbor</t>
  </si>
  <si>
    <t>Standard Beige B</t>
  </si>
  <si>
    <t>Standard Blue Wind</t>
  </si>
  <si>
    <t>Standard Classic Gray</t>
  </si>
  <si>
    <t>Standard Gray Storm</t>
  </si>
  <si>
    <t>Standard Ivory A</t>
  </si>
  <si>
    <t>Standard Taupe B</t>
  </si>
  <si>
    <t>Bamboo Antique Pewter</t>
  </si>
  <si>
    <t>Bamboo Sticks &amp; Stones</t>
  </si>
  <si>
    <t xml:space="preserve"> 45mm Single Cellular Blind Day Night Blockout Colours</t>
  </si>
  <si>
    <t xml:space="preserve"> 45mm Cell In A Cell Cellular Blind Day Night Blockout Colours</t>
  </si>
  <si>
    <t>Crepe Woven Acacia Haze</t>
  </si>
  <si>
    <t>Crepe Woven Anthracite</t>
  </si>
  <si>
    <t>Crepe Woven Gourmet Chocolate</t>
  </si>
  <si>
    <t>Crepe Woven Gray Moss</t>
  </si>
  <si>
    <t>Crepe Woven Navy</t>
  </si>
  <si>
    <t>Crepe Woven Plebian Blue</t>
  </si>
  <si>
    <t>Crepe Woven Stallion</t>
  </si>
  <si>
    <t>Crepe Woven Wild Ginger</t>
  </si>
  <si>
    <t>Cellular Colour 2 45mm Cell In A Cell Cellular Blind</t>
  </si>
  <si>
    <t xml:space="preserve"> 45mm Single Cell Blockout Woodgrain</t>
  </si>
  <si>
    <t xml:space="preserve"> 45mm Single Cell Translucent Crepe Woven</t>
  </si>
  <si>
    <t xml:space="preserve"> 45mm Single Cell Translucent Woodgrain Linen</t>
  </si>
  <si>
    <t xml:space="preserve"> 45mm Single Cell Blockout Woodgrain Linen</t>
  </si>
  <si>
    <t xml:space="preserve"> 45mm Single Cell Blockout Marble</t>
  </si>
  <si>
    <t xml:space="preserve"> 45mm Single Cell Blockout Sala</t>
  </si>
  <si>
    <t xml:space="preserve"> 45mm Single Cell Translucent Cell In A Cell</t>
  </si>
  <si>
    <t xml:space="preserve"> 45mm Single Cell Cell In A Cell Translucent Bamboo</t>
  </si>
  <si>
    <t xml:space="preserve"> 45mm Single Cell Cell In A Cell Blockout</t>
  </si>
  <si>
    <t xml:space="preserve"> 45mm Single Cell Cell In A Cell Blockout Bamboo</t>
  </si>
  <si>
    <t>Privacy Luxe</t>
  </si>
  <si>
    <t>Privacy Textured Grain</t>
  </si>
  <si>
    <t>Privacy Natural</t>
  </si>
  <si>
    <t>BK10_Colour</t>
  </si>
  <si>
    <t>BK50_Colour</t>
  </si>
  <si>
    <t>BK20_Colour</t>
  </si>
  <si>
    <t>Amber Gold BK104</t>
  </si>
  <si>
    <t>Brass BK106</t>
  </si>
  <si>
    <t>Dark Cedar BK108</t>
  </si>
  <si>
    <t>Fudge BK107</t>
  </si>
  <si>
    <t>Hazelwood BK105</t>
  </si>
  <si>
    <t>Light Cream BK103</t>
  </si>
  <si>
    <t>Raven BK109</t>
  </si>
  <si>
    <t>Smoke White BK101</t>
  </si>
  <si>
    <t>Sterling BK102</t>
  </si>
  <si>
    <t>Chestnut BK504</t>
  </si>
  <si>
    <t>Chromium BK501</t>
  </si>
  <si>
    <t>Coal BK503</t>
  </si>
  <si>
    <t>Light Slate BK502</t>
  </si>
  <si>
    <t>Charcoal Grey BK207</t>
  </si>
  <si>
    <t>Chrome Grey BK204</t>
  </si>
  <si>
    <t>Classic Silver BK202</t>
  </si>
  <si>
    <t>Cookie BK205</t>
  </si>
  <si>
    <t>Dark Brown BK206</t>
  </si>
  <si>
    <t>Elephant Grey BK203</t>
  </si>
  <si>
    <t>Intense Black BK208</t>
  </si>
  <si>
    <t>Pearl Grey BK201</t>
  </si>
  <si>
    <t>Multi Shade, Privacy Textured Grain</t>
  </si>
  <si>
    <t>Multi Shade, Privacy Luxe</t>
  </si>
  <si>
    <t>Multi Shade, Privacy Natural</t>
  </si>
  <si>
    <t>Roma Shade</t>
  </si>
  <si>
    <t>Roma Shade Finish</t>
  </si>
  <si>
    <t>Monti</t>
  </si>
  <si>
    <t>Prati</t>
  </si>
  <si>
    <t>Termini</t>
  </si>
  <si>
    <t>Tridente</t>
  </si>
  <si>
    <t>Trullo</t>
  </si>
  <si>
    <t>Monte Grappa White</t>
  </si>
  <si>
    <t>Light Grey</t>
  </si>
  <si>
    <t>Dark Grey</t>
  </si>
  <si>
    <t>Mont Blanc White</t>
  </si>
  <si>
    <t>Soft Sand</t>
  </si>
  <si>
    <t>Night</t>
  </si>
  <si>
    <t>Mount Etna White</t>
  </si>
  <si>
    <t>Monti_Colour</t>
  </si>
  <si>
    <t>Prati_Colour</t>
  </si>
  <si>
    <t>Termini_Colour</t>
  </si>
  <si>
    <t>Tridente_Colour</t>
  </si>
  <si>
    <t>Headbox</t>
  </si>
  <si>
    <t>Roma Shade Headbox</t>
  </si>
  <si>
    <t>50mm Timber Blind</t>
  </si>
  <si>
    <t>50mm Venetian</t>
  </si>
  <si>
    <t>63mm Venetian</t>
  </si>
  <si>
    <t>50mm Bright White</t>
  </si>
  <si>
    <t>50mm Classic White</t>
  </si>
  <si>
    <t>50mm Earl Grey</t>
  </si>
  <si>
    <t>50mm Snow White</t>
  </si>
  <si>
    <t>50mm Super White</t>
  </si>
  <si>
    <t>50mm Beechwood</t>
  </si>
  <si>
    <t>50mm Cedar Image Medium</t>
  </si>
  <si>
    <t>50mm Maple</t>
  </si>
  <si>
    <t>50mm Riva</t>
  </si>
  <si>
    <t>50mm Walnut</t>
  </si>
  <si>
    <t>63mm Snow White</t>
  </si>
  <si>
    <t>63mm Super White</t>
  </si>
  <si>
    <t xml:space="preserve"> 45mm Single Cell Blockout Lux_Linen</t>
  </si>
  <si>
    <t>FittingBoth</t>
  </si>
  <si>
    <t>FittingRecess</t>
  </si>
  <si>
    <t>Fitting Select</t>
  </si>
  <si>
    <t>Transition Blinds &amp; Roma Shades</t>
  </si>
  <si>
    <t>Transition Range Blinds &amp; Roma Shades</t>
  </si>
  <si>
    <t>U Channels</t>
  </si>
  <si>
    <t>UChannelNA</t>
  </si>
  <si>
    <t>UChannelYes</t>
  </si>
  <si>
    <t>Left &amp; Right Sides</t>
  </si>
  <si>
    <t>Left &amp; Right Sides &amp; Bottom</t>
  </si>
  <si>
    <t>ChannelYes</t>
  </si>
  <si>
    <t>ChannelNo</t>
  </si>
  <si>
    <t>Lookup Channel</t>
  </si>
  <si>
    <t>ChannelNAYes</t>
  </si>
  <si>
    <t>U Channel Sizes</t>
  </si>
  <si>
    <t>TOTAL</t>
  </si>
  <si>
    <t>Total Metres (m)</t>
  </si>
  <si>
    <t>RecessFace</t>
  </si>
  <si>
    <t>U Channels Select</t>
  </si>
  <si>
    <t>U Channel Product</t>
  </si>
  <si>
    <t>Deduction</t>
  </si>
  <si>
    <t>Yes Or No</t>
  </si>
  <si>
    <t>Rechargeable USB-C Operated Motor with Wand and Remote Control - Left Side</t>
  </si>
  <si>
    <t>Rechargeable USB-C Operated Motor with Wand and Remote Control - Right Side</t>
  </si>
  <si>
    <t>Control Normal</t>
  </si>
  <si>
    <t>Control Motorised With USB</t>
  </si>
  <si>
    <t>Control Cordless Top Down  Bottom Up</t>
  </si>
  <si>
    <t>Control Corded Top Down  Bottom Up</t>
  </si>
  <si>
    <t>Control Clutch Top Down  Bottom Up</t>
  </si>
  <si>
    <t>Rechargeable Battery Operated Motor With Wand Control &amp; USB-C Power Adapter With Remote - Left Side Wand</t>
  </si>
  <si>
    <t>Rechargeable Battery Operated Motor With Wand Control &amp; USB-C Power Adapter With Remote - Right Side Wand</t>
  </si>
  <si>
    <t>Motor Left</t>
  </si>
  <si>
    <t>Motor Right</t>
  </si>
  <si>
    <t>Minimum</t>
  </si>
  <si>
    <t>Width</t>
  </si>
  <si>
    <t>Check Size Calc</t>
  </si>
  <si>
    <t>Minimum Width</t>
  </si>
  <si>
    <t>Maximum Width</t>
  </si>
  <si>
    <t>Minimum Height</t>
  </si>
  <si>
    <t>Maximum Height</t>
  </si>
  <si>
    <t>Height</t>
  </si>
  <si>
    <t>Side U Channels</t>
  </si>
  <si>
    <t>Side U Channel Colour</t>
  </si>
  <si>
    <t>SIDE U CHANNEL SIZES</t>
  </si>
  <si>
    <t>Side U Channel Metres (m)</t>
  </si>
  <si>
    <t>White/Snow White</t>
  </si>
  <si>
    <t>Ivory/Classic White</t>
  </si>
  <si>
    <t>Gray/Earl Gray</t>
  </si>
  <si>
    <t>CordlockNoCordless</t>
  </si>
  <si>
    <t>CordlockYesCordless</t>
  </si>
  <si>
    <t>Cordless</t>
  </si>
  <si>
    <t>Cord Lock Select</t>
  </si>
  <si>
    <t>TiltCordless</t>
  </si>
  <si>
    <t>Tilt Select</t>
  </si>
  <si>
    <t>Cordless Hook Wand Left</t>
  </si>
  <si>
    <t>Cordless Hook Wand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</si>
</sst>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dd/mm/yyyy;@"/>
  </numFmts>
  <fonts count="112">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u/>
      <sz val="10"/>
      <color indexed="12"/>
      <name val="Arial"/>
      <family val="2"/>
    </font>
    <font>
      <b/>
      <sz val="10"/>
      <name val="Arial"/>
      <family val="2"/>
    </font>
    <font>
      <sz val="8"/>
      <name val="Arial"/>
      <family val="2"/>
    </font>
    <font>
      <sz val="9"/>
      <color indexed="8"/>
      <name val="Arial"/>
      <family val="2"/>
    </font>
    <font>
      <sz val="9"/>
      <name val="Arial"/>
      <family val="2"/>
    </font>
    <font>
      <b/>
      <sz val="12"/>
      <name val="Arial"/>
      <family val="2"/>
    </font>
    <font>
      <sz val="10"/>
      <name val="Arial"/>
      <family val="2"/>
    </font>
    <font>
      <sz val="9"/>
      <name val="宋体"/>
      <charset val="134"/>
    </font>
    <font>
      <sz val="10"/>
      <color indexed="10"/>
      <name val="Arial"/>
      <family val="2"/>
    </font>
    <font>
      <b/>
      <sz val="16"/>
      <name val="Tahoma"/>
      <family val="2"/>
    </font>
    <font>
      <b/>
      <sz val="12"/>
      <name val="Tahoma"/>
      <family val="2"/>
    </font>
    <font>
      <b/>
      <sz val="11"/>
      <name val="Calibri"/>
      <family val="2"/>
    </font>
    <font>
      <sz val="12"/>
      <name val="Arial"/>
      <family val="2"/>
    </font>
    <font>
      <sz val="12"/>
      <name val="Tahoma"/>
      <family val="2"/>
    </font>
    <font>
      <b/>
      <sz val="12"/>
      <name val="Calibri"/>
      <family val="2"/>
    </font>
    <font>
      <sz val="12"/>
      <name val="Calibri"/>
      <family val="2"/>
    </font>
    <font>
      <sz val="9"/>
      <name val="Tahoma"/>
      <family val="2"/>
    </font>
    <font>
      <b/>
      <sz val="14"/>
      <name val="Tahoma"/>
      <family val="2"/>
    </font>
    <font>
      <b/>
      <sz val="11"/>
      <name val="Tahoma"/>
      <family val="2"/>
    </font>
    <font>
      <sz val="11"/>
      <name val="Calibri"/>
      <family val="2"/>
    </font>
    <font>
      <sz val="11"/>
      <name val="Tahoma"/>
      <family val="2"/>
    </font>
    <font>
      <b/>
      <i/>
      <sz val="12"/>
      <name val="Tahoma"/>
      <family val="2"/>
    </font>
    <font>
      <b/>
      <sz val="14"/>
      <name val="Calibri"/>
      <family val="2"/>
    </font>
    <font>
      <sz val="8"/>
      <color indexed="81"/>
      <name val="Tahoma"/>
      <family val="2"/>
    </font>
    <font>
      <sz val="10"/>
      <name val="Tahoma"/>
      <family val="2"/>
    </font>
    <font>
      <b/>
      <sz val="14"/>
      <name val="Arial"/>
      <family val="2"/>
    </font>
    <font>
      <b/>
      <sz val="20"/>
      <name val="Arial"/>
      <family val="2"/>
    </font>
    <font>
      <b/>
      <sz val="9"/>
      <name val="Arial"/>
      <family val="2"/>
    </font>
    <font>
      <sz val="16"/>
      <name val="Arial"/>
      <family val="2"/>
    </font>
    <font>
      <sz val="16"/>
      <color indexed="10"/>
      <name val="Arial"/>
      <family val="2"/>
    </font>
    <font>
      <sz val="7.5"/>
      <name val="Tahoma"/>
      <family val="2"/>
    </font>
    <font>
      <sz val="9"/>
      <color indexed="81"/>
      <name val="Tahoma"/>
      <family val="2"/>
    </font>
    <font>
      <b/>
      <i/>
      <sz val="10"/>
      <name val="Arial"/>
      <family val="2"/>
    </font>
    <font>
      <b/>
      <sz val="11"/>
      <name val="Calibri"/>
      <family val="2"/>
      <scheme val="minor"/>
    </font>
    <font>
      <b/>
      <sz val="12"/>
      <color rgb="FFFF0000"/>
      <name val="Arial"/>
      <family val="2"/>
    </font>
    <font>
      <b/>
      <sz val="12"/>
      <name val="Calibri"/>
      <family val="2"/>
      <scheme val="minor"/>
    </font>
    <font>
      <sz val="11"/>
      <name val="Calibri"/>
      <family val="2"/>
      <scheme val="minor"/>
    </font>
    <font>
      <b/>
      <sz val="14"/>
      <name val="Calibri"/>
      <family val="2"/>
      <scheme val="minor"/>
    </font>
    <font>
      <b/>
      <i/>
      <sz val="11"/>
      <name val="Calibri"/>
      <family val="2"/>
      <scheme val="minor"/>
    </font>
    <font>
      <i/>
      <sz val="11"/>
      <name val="Calibri"/>
      <family val="2"/>
      <scheme val="minor"/>
    </font>
    <font>
      <b/>
      <i/>
      <sz val="11"/>
      <color indexed="12"/>
      <name val="Calibri"/>
      <family val="2"/>
      <scheme val="minor"/>
    </font>
    <font>
      <i/>
      <sz val="8"/>
      <color indexed="81"/>
      <name val="Tahoma"/>
      <family val="2"/>
    </font>
    <font>
      <b/>
      <i/>
      <sz val="11"/>
      <color rgb="FFFF0000"/>
      <name val="Calibri"/>
      <family val="2"/>
      <scheme val="minor"/>
    </font>
    <font>
      <sz val="12"/>
      <name val="Calibri"/>
      <family val="2"/>
      <scheme val="minor"/>
    </font>
    <font>
      <i/>
      <sz val="11"/>
      <color rgb="FFFF0000"/>
      <name val="Calibri"/>
      <family val="2"/>
      <scheme val="minor"/>
    </font>
    <font>
      <sz val="12"/>
      <color rgb="FFFF0000"/>
      <name val="Tahoma"/>
      <family val="2"/>
    </font>
    <font>
      <b/>
      <sz val="11"/>
      <color theme="1"/>
      <name val="Calibri"/>
      <family val="2"/>
      <scheme val="minor"/>
    </font>
    <font>
      <sz val="12"/>
      <color rgb="FF7030A0"/>
      <name val="Tahoma"/>
      <family val="2"/>
    </font>
    <font>
      <b/>
      <sz val="11"/>
      <color indexed="10"/>
      <name val="Calibri"/>
      <family val="2"/>
      <scheme val="minor"/>
    </font>
    <font>
      <b/>
      <sz val="11"/>
      <color theme="3"/>
      <name val="Calibri"/>
      <family val="2"/>
      <scheme val="minor"/>
    </font>
    <font>
      <b/>
      <sz val="20"/>
      <color theme="8"/>
      <name val="Arial"/>
      <family val="2"/>
    </font>
    <font>
      <b/>
      <sz val="11"/>
      <color indexed="14"/>
      <name val="Calibri"/>
      <family val="2"/>
      <scheme val="minor"/>
    </font>
    <font>
      <b/>
      <sz val="11"/>
      <color indexed="17"/>
      <name val="Calibri"/>
      <family val="2"/>
      <scheme val="minor"/>
    </font>
    <font>
      <b/>
      <sz val="11"/>
      <color indexed="12"/>
      <name val="Calibri"/>
      <family val="2"/>
      <scheme val="minor"/>
    </font>
    <font>
      <b/>
      <sz val="20"/>
      <color theme="2" tint="-0.499984740745262"/>
      <name val="Arial"/>
      <family val="2"/>
    </font>
    <font>
      <i/>
      <sz val="10"/>
      <name val="Arial"/>
      <family val="2"/>
    </font>
    <font>
      <sz val="12"/>
      <color theme="1"/>
      <name val="Tahoma"/>
      <family val="2"/>
    </font>
    <font>
      <sz val="10"/>
      <color rgb="FF00B050"/>
      <name val="Arial"/>
      <family val="2"/>
    </font>
    <font>
      <b/>
      <sz val="11"/>
      <color theme="1"/>
      <name val="Calibri"/>
      <family val="2"/>
    </font>
    <font>
      <sz val="10"/>
      <color rgb="FFFF0000"/>
      <name val="Arial"/>
      <family val="2"/>
    </font>
    <font>
      <sz val="9"/>
      <color rgb="FFFF0000"/>
      <name val="Arial"/>
      <family val="2"/>
    </font>
    <font>
      <sz val="11"/>
      <color rgb="FFFF0000"/>
      <name val="Calibri"/>
      <family val="2"/>
      <scheme val="minor"/>
    </font>
    <font>
      <sz val="10"/>
      <name val="Arial"/>
      <family val="2"/>
    </font>
    <font>
      <b/>
      <i/>
      <sz val="12"/>
      <name val="Arial"/>
      <family val="2"/>
    </font>
    <font>
      <b/>
      <sz val="12"/>
      <name val="Arial"/>
      <family val="2"/>
    </font>
    <font>
      <b/>
      <sz val="14"/>
      <name val="Arial"/>
      <family val="2"/>
    </font>
    <font>
      <b/>
      <sz val="18"/>
      <name val="Arial"/>
      <family val="2"/>
    </font>
    <font>
      <sz val="18"/>
      <name val="Arial"/>
      <family val="2"/>
    </font>
    <font>
      <sz val="12"/>
      <name val="Arial"/>
      <family val="2"/>
    </font>
    <font>
      <b/>
      <sz val="10"/>
      <name val="Arial"/>
      <family val="2"/>
    </font>
    <font>
      <sz val="14"/>
      <name val="Arial"/>
      <family val="2"/>
    </font>
    <font>
      <b/>
      <i/>
      <sz val="10"/>
      <name val="Arial"/>
      <family val="2"/>
    </font>
    <font>
      <i/>
      <sz val="10"/>
      <name val="Arial"/>
      <family val="2"/>
    </font>
    <font>
      <b/>
      <sz val="16"/>
      <name val="Tahoma"/>
      <family val="2"/>
    </font>
    <font>
      <sz val="10"/>
      <name val="Arial"/>
      <family val="2"/>
    </font>
    <font>
      <b/>
      <sz val="12"/>
      <name val="Tahoma"/>
      <family val="2"/>
    </font>
    <font>
      <b/>
      <sz val="11"/>
      <name val="Calibri"/>
      <family val="2"/>
    </font>
    <font>
      <b/>
      <sz val="20"/>
      <name val="Arial"/>
      <family val="2"/>
    </font>
    <font>
      <sz val="12"/>
      <name val="Tahoma"/>
      <family val="2"/>
    </font>
    <font>
      <b/>
      <sz val="11"/>
      <name val="Calibri"/>
      <family val="2"/>
      <scheme val="minor"/>
    </font>
    <font>
      <sz val="12"/>
      <name val="Arial"/>
      <family val="2"/>
    </font>
    <font>
      <b/>
      <sz val="12"/>
      <name val="Calibri"/>
      <family val="2"/>
    </font>
    <font>
      <b/>
      <sz val="12"/>
      <color rgb="FFFF0000"/>
      <name val="Arial"/>
      <family val="2"/>
    </font>
    <font>
      <sz val="11"/>
      <name val="Calibri"/>
      <family val="2"/>
    </font>
    <font>
      <sz val="12"/>
      <name val="Calibri"/>
      <family val="2"/>
    </font>
    <font>
      <b/>
      <i/>
      <sz val="11"/>
      <name val="Calibri"/>
      <family val="2"/>
      <scheme val="minor"/>
    </font>
    <font>
      <i/>
      <sz val="11"/>
      <name val="Calibri"/>
      <family val="2"/>
      <scheme val="minor"/>
    </font>
    <font>
      <sz val="11"/>
      <name val="Tahoma"/>
      <family val="2"/>
    </font>
    <font>
      <sz val="7.5"/>
      <name val="Tahoma"/>
      <family val="2"/>
    </font>
    <font>
      <b/>
      <sz val="9"/>
      <color indexed="8"/>
      <name val="Arial"/>
      <family val="2"/>
    </font>
    <font>
      <sz val="11"/>
      <color rgb="FF000000"/>
      <name val="Calibri"/>
      <family val="2"/>
    </font>
    <font>
      <b/>
      <sz val="11"/>
      <color rgb="FF000000"/>
      <name val="Calibri"/>
      <family val="2"/>
    </font>
    <font>
      <i/>
      <sz val="11"/>
      <color rgb="FF000000"/>
      <name val="Calibri"/>
      <family val="2"/>
    </font>
  </fonts>
  <fills count="6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theme="0"/>
        <bgColor indexed="64"/>
      </patternFill>
    </fill>
    <fill>
      <patternFill patternType="solid">
        <fgColor rgb="FF92D050"/>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theme="9" tint="0.39997558519241921"/>
        <bgColor indexed="64"/>
      </patternFill>
    </fill>
    <fill>
      <patternFill patternType="solid">
        <fgColor rgb="FFCCCCFF"/>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2" tint="-0.499984740745262"/>
        <bgColor indexed="64"/>
      </patternFill>
    </fill>
    <fill>
      <patternFill patternType="solid">
        <fgColor theme="8"/>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99FF"/>
        <bgColor indexed="64"/>
      </patternFill>
    </fill>
    <fill>
      <patternFill patternType="solid">
        <fgColor rgb="FFC6E0B4"/>
        <bgColor indexed="64"/>
      </patternFill>
    </fill>
    <fill>
      <patternFill patternType="solid">
        <fgColor theme="4" tint="0.79995117038483843"/>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top style="double">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right style="hair">
        <color indexed="64"/>
      </right>
      <top style="hair">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diagonal/>
    </border>
    <border>
      <left style="hair">
        <color indexed="64"/>
      </left>
      <right style="thick">
        <color indexed="64"/>
      </right>
      <top style="double">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style="hair">
        <color indexed="64"/>
      </left>
      <right style="thick">
        <color indexed="64"/>
      </right>
      <top/>
      <bottom style="hair">
        <color indexed="64"/>
      </bottom>
      <diagonal/>
    </border>
    <border>
      <left/>
      <right style="hair">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ck">
        <color indexed="64"/>
      </bottom>
      <diagonal/>
    </border>
    <border>
      <left/>
      <right style="hair">
        <color indexed="64"/>
      </right>
      <top style="hair">
        <color indexed="64"/>
      </top>
      <bottom style="thick">
        <color indexed="64"/>
      </bottom>
      <diagonal/>
    </border>
    <border>
      <left/>
      <right style="hair">
        <color indexed="64"/>
      </right>
      <top/>
      <bottom style="hair">
        <color indexed="64"/>
      </bottom>
      <diagonal/>
    </border>
    <border>
      <left style="thick">
        <color indexed="64"/>
      </left>
      <right style="hair">
        <color indexed="64"/>
      </right>
      <top/>
      <bottom style="hair">
        <color indexed="64"/>
      </bottom>
      <diagonal/>
    </border>
    <border>
      <left style="thick">
        <color indexed="64"/>
      </left>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style="thick">
        <color indexed="64"/>
      </left>
      <right style="hair">
        <color indexed="64"/>
      </right>
      <top style="thick">
        <color indexed="64"/>
      </top>
      <bottom style="double">
        <color indexed="64"/>
      </bottom>
      <diagonal/>
    </border>
    <border>
      <left style="hair">
        <color indexed="64"/>
      </left>
      <right/>
      <top style="thick">
        <color indexed="64"/>
      </top>
      <bottom style="double">
        <color indexed="64"/>
      </bottom>
      <diagonal/>
    </border>
    <border>
      <left style="hair">
        <color indexed="64"/>
      </left>
      <right style="hair">
        <color indexed="64"/>
      </right>
      <top style="thick">
        <color indexed="64"/>
      </top>
      <bottom style="double">
        <color indexed="64"/>
      </bottom>
      <diagonal/>
    </border>
    <border>
      <left/>
      <right style="hair">
        <color indexed="64"/>
      </right>
      <top style="thick">
        <color indexed="64"/>
      </top>
      <bottom style="double">
        <color indexed="64"/>
      </bottom>
      <diagonal/>
    </border>
    <border>
      <left style="hair">
        <color indexed="64"/>
      </left>
      <right style="thick">
        <color indexed="64"/>
      </right>
      <top style="thick">
        <color indexed="64"/>
      </top>
      <bottom style="double">
        <color indexed="64"/>
      </bottom>
      <diagonal/>
    </border>
    <border>
      <left style="hair">
        <color indexed="64"/>
      </left>
      <right/>
      <top style="thick">
        <color indexed="64"/>
      </top>
      <bottom/>
      <diagonal/>
    </border>
    <border>
      <left/>
      <right style="hair">
        <color indexed="64"/>
      </right>
      <top style="thick">
        <color indexed="64"/>
      </top>
      <bottom/>
      <diagonal/>
    </border>
    <border>
      <left style="hair">
        <color indexed="64"/>
      </left>
      <right style="hair">
        <color indexed="64"/>
      </right>
      <top style="hair">
        <color indexed="64"/>
      </top>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style="thick">
        <color indexed="64"/>
      </bottom>
      <diagonal/>
    </border>
    <border>
      <left/>
      <right style="hair">
        <color indexed="64"/>
      </right>
      <top/>
      <bottom style="thick">
        <color indexed="64"/>
      </bottom>
      <diagonal/>
    </border>
    <border>
      <left/>
      <right/>
      <top style="thick">
        <color indexed="64"/>
      </top>
      <bottom style="double">
        <color indexed="64"/>
      </bottom>
      <diagonal/>
    </border>
    <border>
      <left/>
      <right/>
      <top style="double">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ck">
        <color indexed="64"/>
      </bottom>
      <diagonal/>
    </border>
    <border>
      <left/>
      <right/>
      <top style="hair">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medium">
        <color indexed="64"/>
      </right>
      <top/>
      <bottom style="hair">
        <color indexed="64"/>
      </bottom>
      <diagonal/>
    </border>
    <border>
      <left style="thick">
        <color indexed="64"/>
      </left>
      <right style="medium">
        <color indexed="64"/>
      </right>
      <top style="hair">
        <color indexed="64"/>
      </top>
      <bottom style="hair">
        <color indexed="64"/>
      </bottom>
      <diagonal/>
    </border>
    <border>
      <left style="thick">
        <color indexed="64"/>
      </left>
      <right style="medium">
        <color indexed="64"/>
      </right>
      <top/>
      <bottom style="thick">
        <color indexed="64"/>
      </bottom>
      <diagonal/>
    </border>
    <border>
      <left/>
      <right/>
      <top/>
      <bottom style="thick">
        <color indexed="64"/>
      </bottom>
      <diagonal/>
    </border>
    <border>
      <left style="medium">
        <color indexed="64"/>
      </left>
      <right style="medium">
        <color indexed="64"/>
      </right>
      <top style="hair">
        <color indexed="64"/>
      </top>
      <bottom style="thick">
        <color indexed="64"/>
      </bottom>
      <diagonal/>
    </border>
    <border>
      <left style="thick">
        <color indexed="64"/>
      </left>
      <right style="medium">
        <color indexed="64"/>
      </right>
      <top style="thick">
        <color indexed="64"/>
      </top>
      <bottom style="double">
        <color indexed="64"/>
      </bottom>
      <diagonal/>
    </border>
    <border>
      <left style="medium">
        <color indexed="64"/>
      </left>
      <right style="medium">
        <color indexed="64"/>
      </right>
      <top style="thick">
        <color indexed="64"/>
      </top>
      <bottom style="double">
        <color indexed="64"/>
      </bottom>
      <diagonal/>
    </border>
    <border>
      <left style="medium">
        <color indexed="64"/>
      </left>
      <right style="thick">
        <color indexed="64"/>
      </right>
      <top style="thick">
        <color indexed="64"/>
      </top>
      <bottom style="double">
        <color indexed="64"/>
      </bottom>
      <diagonal/>
    </border>
    <border>
      <left style="medium">
        <color indexed="64"/>
      </left>
      <right/>
      <top style="thick">
        <color indexed="64"/>
      </top>
      <bottom style="double">
        <color indexed="64"/>
      </bottom>
      <diagonal/>
    </border>
    <border>
      <left/>
      <right style="medium">
        <color indexed="64"/>
      </right>
      <top style="thick">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ck">
        <color indexed="64"/>
      </left>
      <right/>
      <top style="medium">
        <color indexed="64"/>
      </top>
      <bottom style="double">
        <color indexed="64"/>
      </bottom>
      <diagonal/>
    </border>
    <border>
      <left style="thick">
        <color indexed="64"/>
      </left>
      <right/>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hair">
        <color indexed="64"/>
      </bottom>
      <diagonal/>
    </border>
    <border>
      <left style="thick">
        <color indexed="64"/>
      </left>
      <right/>
      <top style="hair">
        <color indexed="64"/>
      </top>
      <bottom style="thick">
        <color indexed="64"/>
      </bottom>
      <diagonal/>
    </border>
    <border>
      <left style="thin">
        <color auto="1"/>
      </left>
      <right style="thin">
        <color auto="1"/>
      </right>
      <top style="thick">
        <color auto="1"/>
      </top>
      <bottom style="thin">
        <color auto="1"/>
      </bottom>
      <diagonal/>
    </border>
    <border>
      <left style="medium">
        <color indexed="64"/>
      </left>
      <right style="thick">
        <color indexed="64"/>
      </right>
      <top style="medium">
        <color indexed="64"/>
      </top>
      <bottom style="double">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ck">
        <color indexed="64"/>
      </bottom>
      <diagonal/>
    </border>
    <border>
      <left style="medium">
        <color indexed="64"/>
      </left>
      <right/>
      <top/>
      <bottom style="hair">
        <color indexed="64"/>
      </bottom>
      <diagonal/>
    </border>
    <border>
      <left/>
      <right/>
      <top style="thick">
        <color indexed="64"/>
      </top>
      <bottom style="medium">
        <color indexed="64"/>
      </bottom>
      <diagonal/>
    </border>
    <border>
      <left/>
      <right style="thick">
        <color indexed="64"/>
      </right>
      <top style="thick">
        <color indexed="64"/>
      </top>
      <bottom style="double">
        <color indexed="64"/>
      </bottom>
      <diagonal/>
    </border>
    <border>
      <left/>
      <right style="thick">
        <color indexed="64"/>
      </right>
      <top style="double">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ck">
        <color indexed="64"/>
      </bottom>
      <diagonal/>
    </border>
    <border>
      <left style="medium">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medium">
        <color indexed="64"/>
      </left>
      <right/>
      <top/>
      <bottom/>
      <diagonal/>
    </border>
    <border>
      <left/>
      <right style="thick">
        <color indexed="64"/>
      </right>
      <top/>
      <bottom/>
      <diagonal/>
    </border>
    <border>
      <left style="medium">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double">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s>
  <cellStyleXfs count="4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3" borderId="0" applyNumberFormat="0" applyBorder="0" applyAlignment="0" applyProtection="0">
      <alignment vertical="center"/>
    </xf>
    <xf numFmtId="0" fontId="5" fillId="20" borderId="1" applyNumberFormat="0" applyAlignment="0" applyProtection="0">
      <alignment vertical="center"/>
    </xf>
    <xf numFmtId="0" fontId="6" fillId="21" borderId="2" applyNumberFormat="0" applyAlignment="0" applyProtection="0">
      <alignment vertical="center"/>
    </xf>
    <xf numFmtId="0" fontId="7" fillId="0" borderId="0" applyNumberFormat="0" applyFill="0" applyBorder="0" applyAlignment="0" applyProtection="0">
      <alignment vertical="center"/>
    </xf>
    <xf numFmtId="0" fontId="8" fillId="4" borderId="0" applyNumberFormat="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top"/>
      <protection locked="0"/>
    </xf>
    <xf numFmtId="0" fontId="12" fillId="7" borderId="1" applyNumberFormat="0" applyAlignment="0" applyProtection="0">
      <alignment vertical="center"/>
    </xf>
    <xf numFmtId="0" fontId="13" fillId="0" borderId="6" applyNumberFormat="0" applyFill="0" applyAlignment="0" applyProtection="0">
      <alignment vertical="center"/>
    </xf>
    <xf numFmtId="0" fontId="14" fillId="22" borderId="0" applyNumberFormat="0" applyBorder="0" applyAlignment="0" applyProtection="0">
      <alignment vertical="center"/>
    </xf>
    <xf numFmtId="0" fontId="25" fillId="0" borderId="0"/>
    <xf numFmtId="0" fontId="25" fillId="23" borderId="7" applyNumberFormat="0" applyFont="0" applyAlignment="0" applyProtection="0">
      <alignment vertical="center"/>
    </xf>
    <xf numFmtId="0" fontId="15" fillId="20" borderId="8" applyNumberForma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0" applyNumberFormat="0" applyFill="0" applyBorder="0" applyAlignment="0" applyProtection="0">
      <alignment vertical="center"/>
    </xf>
  </cellStyleXfs>
  <cellXfs count="827">
    <xf numFmtId="0" fontId="0" fillId="0" borderId="0" xfId="0"/>
    <xf numFmtId="0" fontId="22" fillId="0" borderId="7" xfId="0" applyFont="1" applyBorder="1" applyAlignment="1">
      <alignment horizontal="left" wrapText="1"/>
    </xf>
    <xf numFmtId="0" fontId="23" fillId="0" borderId="7" xfId="0" applyFont="1" applyBorder="1" applyAlignment="1">
      <alignment horizontal="left"/>
    </xf>
    <xf numFmtId="0" fontId="22" fillId="0" borderId="10" xfId="0" applyFont="1" applyBorder="1" applyAlignment="1">
      <alignment horizontal="left" wrapText="1"/>
    </xf>
    <xf numFmtId="0" fontId="22" fillId="0" borderId="0" xfId="0" applyFont="1" applyAlignment="1">
      <alignment horizontal="left" wrapText="1"/>
    </xf>
    <xf numFmtId="0" fontId="23" fillId="0" borderId="0" xfId="0" applyFont="1" applyAlignment="1">
      <alignment horizontal="left"/>
    </xf>
    <xf numFmtId="0" fontId="27" fillId="0" borderId="0" xfId="0" applyFont="1"/>
    <xf numFmtId="0" fontId="36" fillId="0" borderId="11" xfId="0" applyFont="1" applyBorder="1" applyAlignment="1" applyProtection="1">
      <alignment horizontal="center" vertical="center"/>
      <protection locked="0"/>
    </xf>
    <xf numFmtId="0" fontId="37" fillId="0" borderId="0" xfId="0" applyFont="1" applyAlignment="1" applyProtection="1">
      <alignment horizontal="right" vertical="center"/>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protection locked="0"/>
    </xf>
    <xf numFmtId="0" fontId="39" fillId="0" borderId="16" xfId="0" applyFont="1" applyBorder="1" applyAlignment="1" applyProtection="1">
      <alignment horizontal="center" vertical="center" wrapText="1" shrinkToFit="1"/>
      <protection locked="0"/>
    </xf>
    <xf numFmtId="0" fontId="39" fillId="0" borderId="17"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protection locked="0"/>
    </xf>
    <xf numFmtId="0" fontId="39" fillId="0" borderId="18" xfId="0" applyFont="1" applyBorder="1" applyAlignment="1" applyProtection="1">
      <alignment horizontal="center" vertical="center" wrapText="1" shrinkToFit="1"/>
      <protection locked="0"/>
    </xf>
    <xf numFmtId="0" fontId="39" fillId="0" borderId="18" xfId="0" applyFont="1" applyBorder="1" applyAlignment="1" applyProtection="1">
      <alignment horizontal="center" vertical="center" shrinkToFit="1"/>
      <protection locked="0"/>
    </xf>
    <xf numFmtId="0" fontId="39" fillId="0" borderId="19"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shrinkToFit="1"/>
      <protection locked="0"/>
    </xf>
    <xf numFmtId="0" fontId="39" fillId="0" borderId="14"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0" borderId="21" xfId="0" applyFont="1" applyBorder="1" applyAlignment="1" applyProtection="1">
      <alignment horizontal="center" vertical="center" wrapText="1"/>
      <protection locked="0"/>
    </xf>
    <xf numFmtId="0" fontId="39" fillId="0" borderId="21" xfId="0" applyFont="1" applyBorder="1" applyAlignment="1" applyProtection="1">
      <alignment horizontal="center" vertical="center"/>
      <protection locked="0"/>
    </xf>
    <xf numFmtId="0" fontId="39" fillId="0" borderId="15"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protection locked="0"/>
    </xf>
    <xf numFmtId="0" fontId="39" fillId="0" borderId="16"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shrinkToFit="1"/>
      <protection locked="0"/>
    </xf>
    <xf numFmtId="0" fontId="39" fillId="0" borderId="23"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39" fillId="0" borderId="21" xfId="0" applyFont="1" applyBorder="1" applyAlignment="1" applyProtection="1">
      <alignment horizontal="center" vertical="center" shrinkToFit="1"/>
      <protection locked="0"/>
    </xf>
    <xf numFmtId="0" fontId="31" fillId="0" borderId="12" xfId="0" applyFont="1" applyBorder="1" applyAlignment="1" applyProtection="1">
      <alignment horizontal="center" vertical="center" wrapText="1"/>
      <protection locked="0"/>
    </xf>
    <xf numFmtId="0" fontId="31" fillId="0" borderId="26" xfId="0" applyFont="1" applyBorder="1" applyAlignment="1" applyProtection="1">
      <alignment horizontal="center" vertical="center" wrapText="1"/>
      <protection locked="0"/>
    </xf>
    <xf numFmtId="0" fontId="0" fillId="0" borderId="0" xfId="0" applyProtection="1">
      <protection locked="0"/>
    </xf>
    <xf numFmtId="0" fontId="0" fillId="0" borderId="27" xfId="0" applyBorder="1" applyProtection="1">
      <protection locked="0"/>
    </xf>
    <xf numFmtId="0" fontId="0" fillId="26" borderId="0" xfId="0" applyFill="1"/>
    <xf numFmtId="0" fontId="0" fillId="0" borderId="0" xfId="0" applyAlignment="1">
      <alignment wrapText="1"/>
    </xf>
    <xf numFmtId="0" fontId="23" fillId="0" borderId="0" xfId="0" applyFont="1" applyAlignment="1">
      <alignment horizontal="left" vertical="center" wrapText="1"/>
    </xf>
    <xf numFmtId="0" fontId="20" fillId="26" borderId="0" xfId="0" applyFont="1" applyFill="1"/>
    <xf numFmtId="0" fontId="20" fillId="0" borderId="0" xfId="0" applyFont="1"/>
    <xf numFmtId="0" fontId="39" fillId="0" borderId="25"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protection locked="0"/>
    </xf>
    <xf numFmtId="0" fontId="39" fillId="0" borderId="25" xfId="0" applyFont="1" applyBorder="1" applyAlignment="1" applyProtection="1">
      <alignment horizontal="center" vertical="center"/>
      <protection locked="0"/>
    </xf>
    <xf numFmtId="0" fontId="38" fillId="0" borderId="33" xfId="0" applyFont="1" applyBorder="1" applyAlignment="1" applyProtection="1">
      <alignment vertical="center"/>
      <protection locked="0"/>
    </xf>
    <xf numFmtId="0" fontId="39" fillId="0" borderId="21" xfId="0" applyFont="1" applyBorder="1" applyAlignment="1" applyProtection="1">
      <alignment horizontal="center" vertical="center" wrapText="1" shrinkToFit="1"/>
      <protection locked="0"/>
    </xf>
    <xf numFmtId="0" fontId="39" fillId="0" borderId="37" xfId="0" applyFont="1" applyBorder="1" applyAlignment="1" applyProtection="1">
      <alignment horizontal="center" vertical="center" wrapText="1"/>
      <protection locked="0"/>
    </xf>
    <xf numFmtId="0" fontId="39" fillId="0" borderId="37" xfId="0" applyFont="1" applyBorder="1" applyAlignment="1" applyProtection="1">
      <alignment horizontal="center" vertical="center"/>
      <protection locked="0"/>
    </xf>
    <xf numFmtId="0" fontId="39" fillId="0" borderId="37" xfId="0" applyFont="1" applyBorder="1" applyAlignment="1" applyProtection="1">
      <alignment horizontal="center" vertical="center" wrapText="1" shrinkToFit="1"/>
      <protection locked="0"/>
    </xf>
    <xf numFmtId="0" fontId="28" fillId="0" borderId="11" xfId="0" applyFont="1" applyBorder="1" applyAlignment="1" applyProtection="1">
      <alignment vertical="center"/>
      <protection locked="0"/>
    </xf>
    <xf numFmtId="0" fontId="28" fillId="0" borderId="0" xfId="0" applyFont="1" applyAlignment="1" applyProtection="1">
      <alignment vertical="center"/>
      <protection locked="0"/>
    </xf>
    <xf numFmtId="0" fontId="30" fillId="0" borderId="40" xfId="0" applyFont="1" applyBorder="1" applyAlignment="1" applyProtection="1">
      <alignment horizontal="center" vertical="center"/>
      <protection locked="0"/>
    </xf>
    <xf numFmtId="0" fontId="30" fillId="0" borderId="41" xfId="0" applyFont="1" applyBorder="1" applyAlignment="1" applyProtection="1">
      <alignment horizontal="center" vertical="center"/>
      <protection locked="0"/>
    </xf>
    <xf numFmtId="0" fontId="30" fillId="0" borderId="42" xfId="0" applyFont="1" applyBorder="1" applyAlignment="1" applyProtection="1">
      <alignment horizontal="center" vertical="center"/>
      <protection locked="0"/>
    </xf>
    <xf numFmtId="0" fontId="30" fillId="0" borderId="43" xfId="0" applyFont="1" applyBorder="1" applyAlignment="1" applyProtection="1">
      <alignment horizontal="center" vertical="center"/>
      <protection locked="0"/>
    </xf>
    <xf numFmtId="0" fontId="32" fillId="0" borderId="0" xfId="0" applyFont="1" applyAlignment="1" applyProtection="1">
      <alignment vertical="center"/>
      <protection locked="0"/>
    </xf>
    <xf numFmtId="0" fontId="32" fillId="0" borderId="0" xfId="0" applyFont="1" applyAlignment="1" applyProtection="1">
      <alignment horizontal="center" vertical="center" wrapText="1"/>
      <protection locked="0"/>
    </xf>
    <xf numFmtId="0" fontId="41" fillId="0" borderId="0" xfId="0" applyFont="1" applyAlignment="1" applyProtection="1">
      <alignment horizontal="center" wrapText="1" shrinkToFit="1"/>
      <protection locked="0"/>
    </xf>
    <xf numFmtId="0" fontId="32" fillId="0" borderId="0" xfId="0" applyFont="1" applyAlignment="1" applyProtection="1">
      <alignment horizontal="left" vertical="top" wrapText="1"/>
      <protection locked="0"/>
    </xf>
    <xf numFmtId="0" fontId="29"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14" fontId="29" fillId="0" borderId="0" xfId="0" applyNumberFormat="1" applyFont="1" applyAlignment="1" applyProtection="1">
      <alignment horizontal="left" vertical="center"/>
      <protection locked="0"/>
    </xf>
    <xf numFmtId="0" fontId="29" fillId="0" borderId="0" xfId="0" applyFont="1" applyAlignment="1" applyProtection="1">
      <alignment horizontal="left" vertical="center" indent="1" shrinkToFit="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29" fillId="0" borderId="0" xfId="0" applyFont="1" applyAlignment="1" applyProtection="1">
      <alignment horizontal="center" vertical="center" shrinkToFit="1"/>
      <protection locked="0"/>
    </xf>
    <xf numFmtId="0" fontId="32" fillId="0" borderId="0" xfId="0" applyFont="1" applyAlignment="1" applyProtection="1">
      <alignment horizontal="center" vertical="center"/>
      <protection locked="0"/>
    </xf>
    <xf numFmtId="0" fontId="30" fillId="2" borderId="48" xfId="0" applyFont="1" applyFill="1" applyBorder="1" applyAlignment="1" applyProtection="1">
      <alignment horizontal="center" vertical="center" wrapText="1"/>
      <protection locked="0"/>
    </xf>
    <xf numFmtId="0" fontId="30" fillId="2" borderId="49" xfId="0" applyFont="1" applyFill="1" applyBorder="1" applyAlignment="1" applyProtection="1">
      <alignment horizontal="center" vertical="center" wrapText="1"/>
      <protection locked="0"/>
    </xf>
    <xf numFmtId="0" fontId="30" fillId="2" borderId="50"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0" fillId="2" borderId="52" xfId="0" applyFont="1" applyFill="1" applyBorder="1" applyAlignment="1" applyProtection="1">
      <alignment horizontal="center" vertical="center" wrapText="1"/>
      <protection locked="0"/>
    </xf>
    <xf numFmtId="0" fontId="31" fillId="25" borderId="25" xfId="0" applyFont="1" applyFill="1" applyBorder="1" applyAlignment="1" applyProtection="1">
      <alignment horizontal="center" vertical="center" wrapText="1"/>
      <protection locked="0"/>
    </xf>
    <xf numFmtId="0" fontId="31" fillId="25" borderId="18" xfId="0" applyFont="1" applyFill="1" applyBorder="1" applyAlignment="1" applyProtection="1">
      <alignment horizontal="center" vertical="center" wrapText="1"/>
      <protection locked="0"/>
    </xf>
    <xf numFmtId="0" fontId="31" fillId="25" borderId="21" xfId="0" applyFont="1" applyFill="1" applyBorder="1" applyAlignment="1" applyProtection="1">
      <alignment horizontal="center" vertical="center" wrapText="1"/>
      <protection locked="0"/>
    </xf>
    <xf numFmtId="0" fontId="34" fillId="0" borderId="33" xfId="0" applyFont="1" applyBorder="1" applyAlignment="1" applyProtection="1">
      <alignment vertical="center"/>
      <protection locked="0"/>
    </xf>
    <xf numFmtId="0" fontId="30" fillId="2" borderId="56" xfId="0" applyFont="1" applyFill="1" applyBorder="1" applyAlignment="1" applyProtection="1">
      <alignment horizontal="center" vertical="center" wrapText="1"/>
      <protection locked="0"/>
    </xf>
    <xf numFmtId="0" fontId="30" fillId="2" borderId="57" xfId="0" applyFont="1" applyFill="1" applyBorder="1" applyAlignment="1" applyProtection="1">
      <alignment horizontal="center" vertical="center" wrapText="1"/>
      <protection locked="0"/>
    </xf>
    <xf numFmtId="0" fontId="30" fillId="0" borderId="0" xfId="0" applyFont="1" applyAlignment="1" applyProtection="1">
      <alignment horizontal="center" vertical="center"/>
      <protection locked="0"/>
    </xf>
    <xf numFmtId="0" fontId="45" fillId="0" borderId="0" xfId="0" applyFont="1" applyAlignment="1" applyProtection="1">
      <alignment vertical="center"/>
      <protection locked="0"/>
    </xf>
    <xf numFmtId="0" fontId="0" fillId="0" borderId="0" xfId="0" applyAlignment="1" applyProtection="1">
      <alignment vertical="center"/>
      <protection locked="0"/>
    </xf>
    <xf numFmtId="164" fontId="35" fillId="0" borderId="0" xfId="0" applyNumberFormat="1" applyFont="1" applyAlignment="1" applyProtection="1">
      <alignment vertical="center"/>
      <protection locked="0"/>
    </xf>
    <xf numFmtId="0" fontId="29" fillId="0" borderId="46" xfId="0" applyFont="1" applyBorder="1" applyAlignment="1" applyProtection="1">
      <alignment horizontal="left" vertical="center"/>
      <protection locked="0"/>
    </xf>
    <xf numFmtId="49" fontId="32" fillId="0" borderId="0" xfId="0" applyNumberFormat="1" applyFont="1" applyAlignment="1" applyProtection="1">
      <alignment vertical="center"/>
      <protection locked="0"/>
    </xf>
    <xf numFmtId="0" fontId="29" fillId="0" borderId="0" xfId="0" applyFont="1" applyAlignment="1" applyProtection="1">
      <alignment horizontal="left" vertical="top"/>
      <protection locked="0"/>
    </xf>
    <xf numFmtId="0" fontId="29" fillId="0" borderId="0" xfId="0" applyFont="1" applyAlignment="1" applyProtection="1">
      <alignment horizontal="center" vertical="center"/>
      <protection locked="0"/>
    </xf>
    <xf numFmtId="0" fontId="43" fillId="0" borderId="0" xfId="0" applyFont="1" applyAlignment="1" applyProtection="1">
      <alignment horizontal="center" vertical="center"/>
      <protection locked="0"/>
    </xf>
    <xf numFmtId="0" fontId="39" fillId="0" borderId="16"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21" xfId="0" applyFont="1" applyBorder="1" applyAlignment="1">
      <alignment horizontal="center" vertical="center" wrapText="1"/>
    </xf>
    <xf numFmtId="0" fontId="0" fillId="0" borderId="7" xfId="0" applyBorder="1"/>
    <xf numFmtId="0" fontId="28" fillId="0" borderId="59"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30" fillId="2" borderId="53" xfId="0" applyFont="1" applyFill="1" applyBorder="1" applyAlignment="1" applyProtection="1">
      <alignment horizontal="center" vertical="center" wrapText="1"/>
      <protection locked="0"/>
    </xf>
    <xf numFmtId="0" fontId="39" fillId="0" borderId="22"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8" fillId="0" borderId="47" xfId="0" applyFont="1" applyBorder="1" applyAlignment="1" applyProtection="1">
      <alignment horizontal="left" vertical="center"/>
      <protection locked="0"/>
    </xf>
    <xf numFmtId="0" fontId="34" fillId="0" borderId="33" xfId="0" applyFont="1" applyBorder="1" applyAlignment="1" applyProtection="1">
      <alignment horizontal="left" vertical="center"/>
      <protection locked="0"/>
    </xf>
    <xf numFmtId="0" fontId="0" fillId="0" borderId="0" xfId="0"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48" fillId="0" borderId="0" xfId="0" applyFont="1" applyProtection="1">
      <protection locked="0"/>
    </xf>
    <xf numFmtId="0" fontId="38" fillId="0" borderId="26" xfId="0" applyFont="1" applyBorder="1" applyAlignment="1" applyProtection="1">
      <alignment vertical="center"/>
      <protection locked="0"/>
    </xf>
    <xf numFmtId="0" fontId="34" fillId="0" borderId="35" xfId="0" applyFont="1" applyBorder="1" applyAlignment="1" applyProtection="1">
      <alignment vertical="center"/>
      <protection locked="0"/>
    </xf>
    <xf numFmtId="0" fontId="34" fillId="0" borderId="36" xfId="0" applyFont="1" applyBorder="1" applyAlignment="1" applyProtection="1">
      <alignment vertical="center"/>
      <protection locked="0"/>
    </xf>
    <xf numFmtId="0" fontId="38" fillId="0" borderId="35" xfId="0" applyFont="1" applyBorder="1" applyAlignment="1" applyProtection="1">
      <alignment vertical="center"/>
      <protection locked="0"/>
    </xf>
    <xf numFmtId="14" fontId="29" fillId="0" borderId="36" xfId="0" applyNumberFormat="1" applyFont="1" applyBorder="1" applyAlignment="1" applyProtection="1">
      <alignment horizontal="left" vertical="center"/>
      <protection locked="0"/>
    </xf>
    <xf numFmtId="0" fontId="55" fillId="0" borderId="0" xfId="0" applyFont="1"/>
    <xf numFmtId="0" fontId="39" fillId="0" borderId="16" xfId="0" applyFont="1" applyBorder="1" applyAlignment="1">
      <alignment horizontal="center" vertical="center" wrapText="1" shrinkToFit="1"/>
    </xf>
    <xf numFmtId="0" fontId="39" fillId="0" borderId="18" xfId="0" applyFont="1" applyBorder="1" applyAlignment="1">
      <alignment horizontal="center" vertical="center" wrapText="1" shrinkToFit="1"/>
    </xf>
    <xf numFmtId="0" fontId="39" fillId="0" borderId="21" xfId="0" applyFont="1" applyBorder="1" applyAlignment="1">
      <alignment horizontal="center" vertical="center" wrapText="1" shrinkToFit="1"/>
    </xf>
    <xf numFmtId="0" fontId="0" fillId="33" borderId="0" xfId="0" applyFill="1"/>
    <xf numFmtId="0" fontId="39" fillId="0" borderId="22" xfId="0" applyFont="1" applyBorder="1" applyAlignment="1" applyProtection="1">
      <alignment horizontal="center" vertical="center" wrapText="1" shrinkToFit="1"/>
      <protection locked="0"/>
    </xf>
    <xf numFmtId="0" fontId="39" fillId="0" borderId="19" xfId="0" applyFont="1" applyBorder="1" applyAlignment="1" applyProtection="1">
      <alignment horizontal="center" vertical="center" wrapText="1" shrinkToFit="1"/>
      <protection locked="0"/>
    </xf>
    <xf numFmtId="0" fontId="39" fillId="0" borderId="24" xfId="0" applyFont="1" applyBorder="1" applyAlignment="1" applyProtection="1">
      <alignment horizontal="center" vertical="center" wrapText="1" shrinkToFit="1"/>
      <protection locked="0"/>
    </xf>
    <xf numFmtId="0" fontId="28" fillId="0" borderId="59" xfId="0" applyFont="1" applyBorder="1" applyAlignment="1" applyProtection="1">
      <alignment vertical="center"/>
      <protection locked="0"/>
    </xf>
    <xf numFmtId="0" fontId="28" fillId="0" borderId="27" xfId="0" applyFont="1" applyBorder="1" applyAlignment="1" applyProtection="1">
      <alignment vertical="center"/>
      <protection locked="0"/>
    </xf>
    <xf numFmtId="0" fontId="33" fillId="0" borderId="0" xfId="0" applyFont="1" applyAlignment="1" applyProtection="1">
      <alignment vertical="center"/>
      <protection locked="0"/>
    </xf>
    <xf numFmtId="0" fontId="33" fillId="0" borderId="33" xfId="0" applyFont="1" applyBorder="1" applyAlignment="1" applyProtection="1">
      <alignment vertical="center"/>
      <protection locked="0"/>
    </xf>
    <xf numFmtId="0" fontId="32" fillId="0" borderId="35" xfId="0" applyFont="1" applyBorder="1" applyAlignment="1" applyProtection="1">
      <alignment vertical="center"/>
      <protection locked="0"/>
    </xf>
    <xf numFmtId="0" fontId="32" fillId="0" borderId="33" xfId="0" applyFont="1" applyBorder="1" applyAlignment="1" applyProtection="1">
      <alignment vertical="center"/>
      <protection locked="0"/>
    </xf>
    <xf numFmtId="0" fontId="52" fillId="0" borderId="0" xfId="0" applyFont="1" applyAlignment="1" applyProtection="1">
      <alignment vertical="center"/>
      <protection locked="0"/>
    </xf>
    <xf numFmtId="0" fontId="29" fillId="0" borderId="58" xfId="0" applyFont="1" applyBorder="1" applyAlignment="1" applyProtection="1">
      <alignment horizontal="left" vertical="center"/>
      <protection locked="0"/>
    </xf>
    <xf numFmtId="0" fontId="38" fillId="0" borderId="36" xfId="0" applyFont="1" applyBorder="1" applyAlignment="1" applyProtection="1">
      <alignment vertical="center"/>
      <protection locked="0"/>
    </xf>
    <xf numFmtId="0" fontId="29" fillId="0" borderId="0" xfId="0" applyFont="1" applyAlignment="1" applyProtection="1">
      <alignment horizontal="left" vertical="top" wrapText="1"/>
      <protection locked="0"/>
    </xf>
    <xf numFmtId="0" fontId="30" fillId="0" borderId="75" xfId="0" applyFont="1" applyBorder="1" applyAlignment="1" applyProtection="1">
      <alignment horizontal="center" vertical="center"/>
      <protection locked="0"/>
    </xf>
    <xf numFmtId="0" fontId="30" fillId="0" borderId="76" xfId="0" applyFont="1" applyBorder="1" applyAlignment="1" applyProtection="1">
      <alignment horizontal="center" vertical="center"/>
      <protection locked="0"/>
    </xf>
    <xf numFmtId="0" fontId="30" fillId="0" borderId="77"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30" fillId="36" borderId="49" xfId="0" applyFont="1" applyFill="1" applyBorder="1" applyAlignment="1" applyProtection="1">
      <alignment horizontal="center" vertical="center" wrapText="1"/>
      <protection locked="0"/>
    </xf>
    <xf numFmtId="0" fontId="30" fillId="36" borderId="50" xfId="0" applyFont="1" applyFill="1" applyBorder="1" applyAlignment="1" applyProtection="1">
      <alignment horizontal="center" vertical="center" wrapText="1"/>
      <protection locked="0"/>
    </xf>
    <xf numFmtId="0" fontId="30" fillId="36" borderId="51" xfId="0" applyFont="1" applyFill="1" applyBorder="1" applyAlignment="1" applyProtection="1">
      <alignment horizontal="center" vertical="center" wrapText="1"/>
      <protection locked="0"/>
    </xf>
    <xf numFmtId="0" fontId="30" fillId="36" borderId="53" xfId="0" applyFont="1" applyFill="1" applyBorder="1" applyAlignment="1" applyProtection="1">
      <alignment horizontal="center" vertical="center" wrapText="1"/>
      <protection locked="0"/>
    </xf>
    <xf numFmtId="0" fontId="30" fillId="37" borderId="56" xfId="0" applyFont="1" applyFill="1" applyBorder="1" applyAlignment="1" applyProtection="1">
      <alignment horizontal="center" vertical="center" wrapText="1"/>
      <protection locked="0"/>
    </xf>
    <xf numFmtId="0" fontId="30" fillId="37" borderId="50" xfId="0" applyFont="1" applyFill="1" applyBorder="1" applyAlignment="1" applyProtection="1">
      <alignment horizontal="center" vertical="center" wrapText="1"/>
      <protection locked="0"/>
    </xf>
    <xf numFmtId="0" fontId="30" fillId="37" borderId="49" xfId="0" applyFont="1" applyFill="1" applyBorder="1" applyAlignment="1" applyProtection="1">
      <alignment horizontal="center" vertical="center" wrapText="1"/>
      <protection locked="0"/>
    </xf>
    <xf numFmtId="0" fontId="30" fillId="38" borderId="80" xfId="0" applyFont="1" applyFill="1" applyBorder="1" applyAlignment="1" applyProtection="1">
      <alignment horizontal="center" vertical="center" wrapText="1"/>
      <protection locked="0"/>
    </xf>
    <xf numFmtId="0" fontId="30" fillId="0" borderId="89" xfId="0" applyFont="1" applyBorder="1" applyAlignment="1" applyProtection="1">
      <alignment horizontal="center" vertical="center"/>
      <protection locked="0"/>
    </xf>
    <xf numFmtId="0" fontId="39" fillId="0" borderId="45" xfId="0" applyFont="1" applyBorder="1" applyAlignment="1" applyProtection="1">
      <alignment vertical="center"/>
      <protection locked="0"/>
    </xf>
    <xf numFmtId="0" fontId="39" fillId="0" borderId="91" xfId="0" applyFont="1" applyBorder="1" applyAlignment="1" applyProtection="1">
      <alignment vertical="center"/>
      <protection locked="0"/>
    </xf>
    <xf numFmtId="0" fontId="39" fillId="0" borderId="67" xfId="0" applyFont="1" applyBorder="1" applyAlignment="1" applyProtection="1">
      <alignment horizontal="center" vertical="center"/>
      <protection locked="0"/>
    </xf>
    <xf numFmtId="0" fontId="39" fillId="0" borderId="66" xfId="0" applyFont="1" applyBorder="1" applyAlignment="1" applyProtection="1">
      <alignment horizontal="center" vertical="center"/>
      <protection locked="0"/>
    </xf>
    <xf numFmtId="0" fontId="30" fillId="0" borderId="92" xfId="0" applyFont="1" applyBorder="1" applyAlignment="1" applyProtection="1">
      <alignment horizontal="center" vertical="center"/>
      <protection locked="0"/>
    </xf>
    <xf numFmtId="0" fontId="39" fillId="0" borderId="79" xfId="0" applyFont="1" applyBorder="1" applyAlignment="1" applyProtection="1">
      <alignment vertical="center"/>
      <protection locked="0"/>
    </xf>
    <xf numFmtId="0" fontId="39" fillId="0" borderId="16" xfId="0" applyFont="1" applyBorder="1" applyAlignment="1">
      <alignment horizontal="center" vertical="center"/>
    </xf>
    <xf numFmtId="0" fontId="39" fillId="0" borderId="18" xfId="0" applyFont="1" applyBorder="1" applyAlignment="1">
      <alignment horizontal="center" vertical="center"/>
    </xf>
    <xf numFmtId="0" fontId="39" fillId="0" borderId="21" xfId="0" applyFont="1" applyBorder="1" applyAlignment="1">
      <alignment horizontal="center" vertical="center"/>
    </xf>
    <xf numFmtId="0" fontId="39" fillId="0" borderId="70" xfId="0" applyFont="1" applyBorder="1" applyAlignment="1" applyProtection="1">
      <alignment horizontal="center" vertical="center"/>
      <protection locked="0"/>
    </xf>
    <xf numFmtId="0" fontId="59" fillId="0" borderId="72" xfId="34" applyFont="1" applyBorder="1" applyAlignment="1" applyProtection="1">
      <alignment horizontal="center" vertical="center"/>
      <protection locked="0"/>
    </xf>
    <xf numFmtId="0" fontId="58" fillId="41" borderId="74" xfId="34" applyFont="1" applyFill="1" applyBorder="1" applyAlignment="1" applyProtection="1">
      <alignment horizontal="center" vertical="center"/>
      <protection locked="0"/>
    </xf>
    <xf numFmtId="0" fontId="30" fillId="41" borderId="54" xfId="0" applyFont="1" applyFill="1" applyBorder="1" applyAlignment="1" applyProtection="1">
      <alignment horizontal="center" vertical="center" wrapText="1"/>
      <protection locked="0"/>
    </xf>
    <xf numFmtId="0" fontId="52" fillId="2" borderId="93" xfId="0" applyFont="1" applyFill="1" applyBorder="1" applyAlignment="1">
      <alignment horizontal="center" vertical="center" wrapText="1"/>
    </xf>
    <xf numFmtId="0" fontId="52" fillId="0" borderId="93" xfId="0" applyFont="1" applyBorder="1" applyAlignment="1">
      <alignment horizontal="center" vertical="center" wrapText="1"/>
    </xf>
    <xf numFmtId="0" fontId="52" fillId="0" borderId="93" xfId="0" applyFont="1" applyBorder="1" applyAlignment="1" applyProtection="1">
      <alignment horizontal="center" vertical="center" wrapText="1"/>
      <protection locked="0"/>
    </xf>
    <xf numFmtId="0" fontId="52" fillId="0" borderId="93" xfId="0" applyFont="1" applyBorder="1" applyAlignment="1" applyProtection="1">
      <alignment horizontal="center" vertical="center"/>
      <protection locked="0"/>
    </xf>
    <xf numFmtId="0" fontId="52" fillId="0" borderId="93" xfId="0" applyFont="1" applyBorder="1" applyAlignment="1" applyProtection="1">
      <alignment vertical="center"/>
      <protection locked="0"/>
    </xf>
    <xf numFmtId="0" fontId="39" fillId="0" borderId="12" xfId="0" applyFont="1" applyBorder="1" applyAlignment="1">
      <alignment horizontal="center" vertical="center" wrapText="1"/>
    </xf>
    <xf numFmtId="0" fontId="32" fillId="0" borderId="12" xfId="0" applyFont="1" applyBorder="1" applyAlignment="1">
      <alignment horizontal="center" vertical="center"/>
    </xf>
    <xf numFmtId="0" fontId="32" fillId="0" borderId="12" xfId="0" applyFont="1" applyBorder="1" applyAlignment="1" applyProtection="1">
      <alignment vertical="center"/>
      <protection locked="0"/>
    </xf>
    <xf numFmtId="0" fontId="39" fillId="0" borderId="74" xfId="0" applyFont="1" applyBorder="1" applyAlignment="1">
      <alignment horizontal="center" vertical="center" wrapText="1"/>
    </xf>
    <xf numFmtId="0" fontId="32" fillId="0" borderId="74" xfId="0" applyFont="1" applyBorder="1" applyAlignment="1">
      <alignment horizontal="center" vertical="center"/>
    </xf>
    <xf numFmtId="0" fontId="32" fillId="0" borderId="74" xfId="0" applyFont="1" applyBorder="1" applyAlignment="1" applyProtection="1">
      <alignment vertical="center"/>
      <protection locked="0"/>
    </xf>
    <xf numFmtId="0" fontId="32" fillId="0" borderId="74" xfId="0" applyFont="1" applyBorder="1" applyAlignment="1" applyProtection="1">
      <alignment horizontal="center" vertical="center"/>
      <protection locked="0"/>
    </xf>
    <xf numFmtId="164" fontId="30" fillId="8" borderId="52" xfId="0" applyNumberFormat="1" applyFont="1" applyFill="1" applyBorder="1" applyAlignment="1" applyProtection="1">
      <alignment horizontal="center" vertical="center"/>
      <protection locked="0"/>
    </xf>
    <xf numFmtId="164" fontId="35" fillId="8" borderId="28" xfId="0" applyNumberFormat="1" applyFont="1" applyFill="1" applyBorder="1" applyAlignment="1">
      <alignment horizontal="center" vertical="center"/>
    </xf>
    <xf numFmtId="164" fontId="35" fillId="8" borderId="29" xfId="0" applyNumberFormat="1" applyFont="1" applyFill="1" applyBorder="1" applyAlignment="1">
      <alignment horizontal="center" vertical="center"/>
    </xf>
    <xf numFmtId="164" fontId="35" fillId="8" borderId="30" xfId="0" applyNumberFormat="1" applyFont="1" applyFill="1" applyBorder="1" applyAlignment="1">
      <alignment horizontal="center" vertical="center"/>
    </xf>
    <xf numFmtId="0" fontId="63" fillId="0" borderId="99" xfId="0" applyFont="1" applyBorder="1" applyAlignment="1" applyProtection="1">
      <alignment vertical="center"/>
      <protection locked="0"/>
    </xf>
    <xf numFmtId="0" fontId="56" fillId="0" borderId="78" xfId="0" applyFont="1" applyBorder="1" applyAlignment="1" applyProtection="1">
      <alignment vertical="center" wrapText="1"/>
      <protection locked="0"/>
    </xf>
    <xf numFmtId="0" fontId="32" fillId="0" borderId="78" xfId="0" applyFont="1" applyBorder="1" applyAlignment="1" applyProtection="1">
      <alignment vertical="center"/>
      <protection locked="0"/>
    </xf>
    <xf numFmtId="0" fontId="32" fillId="0" borderId="12" xfId="0" applyFont="1" applyBorder="1" applyAlignment="1" applyProtection="1">
      <alignment horizontal="center" vertical="center"/>
      <protection locked="0"/>
    </xf>
    <xf numFmtId="0" fontId="52" fillId="0" borderId="12" xfId="0" applyFont="1" applyBorder="1" applyAlignment="1" applyProtection="1">
      <alignment horizontal="center" vertical="center" wrapText="1"/>
      <protection locked="0"/>
    </xf>
    <xf numFmtId="0" fontId="32" fillId="0" borderId="27" xfId="0" applyFont="1" applyBorder="1" applyAlignment="1" applyProtection="1">
      <alignment vertical="center"/>
      <protection locked="0"/>
    </xf>
    <xf numFmtId="0" fontId="0" fillId="0" borderId="0" xfId="0" applyAlignment="1" applyProtection="1">
      <alignment horizontal="center"/>
      <protection locked="0"/>
    </xf>
    <xf numFmtId="0" fontId="0" fillId="26" borderId="12" xfId="0" applyFill="1" applyBorder="1" applyAlignment="1" applyProtection="1">
      <alignment horizontal="center"/>
      <protection locked="0"/>
    </xf>
    <xf numFmtId="0" fontId="39" fillId="0" borderId="28" xfId="0" applyFont="1" applyBorder="1" applyAlignment="1" applyProtection="1">
      <alignment horizontal="center" vertical="center" shrinkToFit="1"/>
      <protection locked="0"/>
    </xf>
    <xf numFmtId="0" fontId="39" fillId="0" borderId="29" xfId="0" applyFont="1" applyBorder="1" applyAlignment="1" applyProtection="1">
      <alignment horizontal="center" vertical="center" shrinkToFit="1"/>
      <protection locked="0"/>
    </xf>
    <xf numFmtId="0" fontId="39" fillId="0" borderId="30" xfId="0" applyFont="1" applyBorder="1" applyAlignment="1" applyProtection="1">
      <alignment horizontal="center" vertical="center" shrinkToFit="1"/>
      <protection locked="0"/>
    </xf>
    <xf numFmtId="0" fontId="39" fillId="0" borderId="31" xfId="0" applyFont="1" applyBorder="1" applyAlignment="1" applyProtection="1">
      <alignment horizontal="center" vertical="center" shrinkToFit="1"/>
      <protection locked="0"/>
    </xf>
    <xf numFmtId="0" fontId="0" fillId="27" borderId="0" xfId="0" applyFill="1"/>
    <xf numFmtId="0" fontId="57" fillId="0" borderId="0" xfId="0" applyFont="1" applyAlignment="1" applyProtection="1">
      <alignment vertical="center"/>
      <protection locked="0"/>
    </xf>
    <xf numFmtId="0" fontId="33" fillId="0" borderId="0" xfId="0" applyFont="1" applyAlignment="1" applyProtection="1">
      <alignment horizontal="left" vertical="center" indent="1"/>
      <protection locked="0"/>
    </xf>
    <xf numFmtId="0" fontId="32" fillId="0" borderId="11" xfId="0" applyFont="1" applyBorder="1" applyAlignment="1" applyProtection="1">
      <alignment vertical="center"/>
      <protection locked="0"/>
    </xf>
    <xf numFmtId="0" fontId="0" fillId="26" borderId="0" xfId="0" applyFill="1" applyAlignment="1">
      <alignment horizontal="center"/>
    </xf>
    <xf numFmtId="0" fontId="64" fillId="0" borderId="0" xfId="0" applyFont="1" applyAlignment="1" applyProtection="1">
      <alignment horizontal="center" vertical="center"/>
      <protection locked="0"/>
    </xf>
    <xf numFmtId="0" fontId="64" fillId="0" borderId="0" xfId="0" applyFont="1" applyAlignment="1" applyProtection="1">
      <alignment vertical="center"/>
      <protection locked="0"/>
    </xf>
    <xf numFmtId="0" fontId="52" fillId="0" borderId="0" xfId="0" applyFont="1" applyAlignment="1" applyProtection="1">
      <alignment horizontal="center" vertical="center"/>
      <protection locked="0"/>
    </xf>
    <xf numFmtId="0" fontId="0" fillId="0" borderId="12" xfId="0" applyBorder="1" applyAlignment="1">
      <alignment horizontal="center"/>
    </xf>
    <xf numFmtId="0" fontId="0" fillId="0" borderId="0" xfId="0" applyAlignment="1">
      <alignment horizontal="center"/>
    </xf>
    <xf numFmtId="0" fontId="0" fillId="27" borderId="12" xfId="0" applyFill="1" applyBorder="1" applyAlignment="1">
      <alignment horizontal="center"/>
    </xf>
    <xf numFmtId="0" fontId="20" fillId="27" borderId="12" xfId="0" applyFont="1" applyFill="1" applyBorder="1" applyAlignment="1">
      <alignment horizontal="center"/>
    </xf>
    <xf numFmtId="0" fontId="0" fillId="42" borderId="12" xfId="0" applyFill="1" applyBorder="1" applyAlignment="1">
      <alignment horizontal="center"/>
    </xf>
    <xf numFmtId="0" fontId="65" fillId="42" borderId="12" xfId="0" applyFont="1" applyFill="1" applyBorder="1" applyAlignment="1">
      <alignment horizontal="center"/>
    </xf>
    <xf numFmtId="0" fontId="0" fillId="44" borderId="12" xfId="0" applyFill="1" applyBorder="1" applyAlignment="1">
      <alignment horizontal="center"/>
    </xf>
    <xf numFmtId="0" fontId="65" fillId="44" borderId="12" xfId="0" applyFont="1" applyFill="1" applyBorder="1" applyAlignment="1">
      <alignment horizontal="center"/>
    </xf>
    <xf numFmtId="0" fontId="0" fillId="45" borderId="12" xfId="0" applyFill="1" applyBorder="1" applyAlignment="1">
      <alignment horizontal="center"/>
    </xf>
    <xf numFmtId="0" fontId="20" fillId="45" borderId="12" xfId="0" applyFont="1" applyFill="1" applyBorder="1" applyAlignment="1">
      <alignment horizontal="center" vertical="center"/>
    </xf>
    <xf numFmtId="0" fontId="0" fillId="46" borderId="12" xfId="0" applyFill="1" applyBorder="1" applyAlignment="1">
      <alignment horizontal="center"/>
    </xf>
    <xf numFmtId="0" fontId="20" fillId="46" borderId="12" xfId="0" applyFont="1" applyFill="1" applyBorder="1" applyAlignment="1">
      <alignment horizontal="center"/>
    </xf>
    <xf numFmtId="0" fontId="0" fillId="30" borderId="0" xfId="0" applyFill="1" applyAlignment="1">
      <alignment horizontal="center"/>
    </xf>
    <xf numFmtId="0" fontId="0" fillId="0" borderId="12" xfId="0" applyBorder="1"/>
    <xf numFmtId="0" fontId="0" fillId="47" borderId="0" xfId="0" applyFill="1" applyAlignment="1">
      <alignment horizontal="center"/>
    </xf>
    <xf numFmtId="0" fontId="0" fillId="48" borderId="0" xfId="0" applyFill="1" applyAlignment="1">
      <alignment horizontal="center"/>
    </xf>
    <xf numFmtId="0" fontId="0" fillId="34" borderId="0" xfId="0" applyFill="1" applyAlignment="1">
      <alignment horizontal="center"/>
    </xf>
    <xf numFmtId="0" fontId="20" fillId="0" borderId="0" xfId="0" applyFont="1" applyAlignment="1">
      <alignment horizontal="center"/>
    </xf>
    <xf numFmtId="0" fontId="0" fillId="34" borderId="0" xfId="0" applyFill="1"/>
    <xf numFmtId="0" fontId="65" fillId="0" borderId="12" xfId="0" applyFont="1" applyBorder="1" applyAlignment="1">
      <alignment horizontal="center"/>
    </xf>
    <xf numFmtId="0" fontId="0" fillId="26" borderId="12" xfId="0" applyFill="1" applyBorder="1"/>
    <xf numFmtId="0" fontId="20" fillId="0" borderId="12" xfId="0" applyFont="1" applyBorder="1"/>
    <xf numFmtId="0" fontId="57" fillId="0" borderId="0" xfId="0" applyFont="1" applyAlignment="1">
      <alignment horizontal="center" vertical="center"/>
    </xf>
    <xf numFmtId="0" fontId="39" fillId="0" borderId="91" xfId="0" applyFont="1" applyBorder="1" applyAlignment="1" applyProtection="1">
      <alignment horizontal="center" vertical="center" wrapText="1"/>
      <protection locked="0"/>
    </xf>
    <xf numFmtId="0" fontId="0" fillId="29" borderId="0" xfId="0" applyFill="1"/>
    <xf numFmtId="49" fontId="34" fillId="0" borderId="0" xfId="0" applyNumberFormat="1" applyFont="1" applyAlignment="1" applyProtection="1">
      <alignment horizontal="right" vertical="center"/>
      <protection locked="0"/>
    </xf>
    <xf numFmtId="0" fontId="52" fillId="34" borderId="88" xfId="0" applyFont="1" applyFill="1" applyBorder="1" applyAlignment="1" applyProtection="1">
      <alignment horizontal="center" vertical="center" wrapText="1"/>
      <protection locked="0"/>
    </xf>
    <xf numFmtId="0" fontId="52" fillId="34" borderId="90" xfId="0" applyFont="1" applyFill="1" applyBorder="1" applyAlignment="1" applyProtection="1">
      <alignment horizontal="center" vertical="center" wrapText="1"/>
      <protection locked="0"/>
    </xf>
    <xf numFmtId="0" fontId="52" fillId="34" borderId="86" xfId="0" applyFont="1" applyFill="1" applyBorder="1" applyAlignment="1" applyProtection="1">
      <alignment horizontal="center" vertical="center" wrapText="1"/>
      <protection locked="0"/>
    </xf>
    <xf numFmtId="0" fontId="52" fillId="40" borderId="90" xfId="0" applyFont="1" applyFill="1" applyBorder="1" applyAlignment="1" applyProtection="1">
      <alignment horizontal="center" vertical="center"/>
      <protection locked="0"/>
    </xf>
    <xf numFmtId="0" fontId="52" fillId="0" borderId="0" xfId="0" applyFont="1" applyAlignment="1" applyProtection="1">
      <alignment horizontal="center" vertical="center" wrapText="1"/>
      <protection locked="0"/>
    </xf>
    <xf numFmtId="0" fontId="66" fillId="0" borderId="0" xfId="0" applyFont="1" applyAlignment="1" applyProtection="1">
      <alignment horizontal="center" vertical="center"/>
      <protection locked="0"/>
    </xf>
    <xf numFmtId="0" fontId="32" fillId="0" borderId="12" xfId="0" applyFont="1" applyBorder="1" applyAlignment="1" applyProtection="1">
      <alignment horizontal="center" vertical="center" wrapText="1"/>
      <protection locked="0"/>
    </xf>
    <xf numFmtId="0" fontId="52" fillId="0" borderId="12" xfId="0" applyFont="1" applyBorder="1" applyAlignment="1" applyProtection="1">
      <alignment vertical="center"/>
      <protection locked="0"/>
    </xf>
    <xf numFmtId="0" fontId="52" fillId="43" borderId="12" xfId="0" applyFont="1" applyFill="1" applyBorder="1" applyAlignment="1" applyProtection="1">
      <alignment horizontal="center" vertical="center" wrapText="1"/>
      <protection locked="0"/>
    </xf>
    <xf numFmtId="0" fontId="67" fillId="43" borderId="12" xfId="0" applyFont="1" applyFill="1" applyBorder="1" applyAlignment="1" applyProtection="1">
      <alignment horizontal="center" vertical="center" wrapText="1"/>
      <protection locked="0"/>
    </xf>
    <xf numFmtId="0" fontId="68" fillId="43" borderId="12" xfId="0" applyFont="1" applyFill="1" applyBorder="1" applyAlignment="1" applyProtection="1">
      <alignment horizontal="center" vertical="center" wrapText="1"/>
      <protection locked="0"/>
    </xf>
    <xf numFmtId="0" fontId="52" fillId="40" borderId="12" xfId="0" applyFont="1" applyFill="1" applyBorder="1" applyAlignment="1" applyProtection="1">
      <alignment horizontal="center" vertical="center" wrapText="1"/>
      <protection locked="0"/>
    </xf>
    <xf numFmtId="0" fontId="70" fillId="40" borderId="12" xfId="0" applyFont="1" applyFill="1" applyBorder="1" applyAlignment="1" applyProtection="1">
      <alignment horizontal="center" vertical="center" wrapText="1"/>
      <protection locked="0"/>
    </xf>
    <xf numFmtId="0" fontId="71" fillId="40" borderId="12" xfId="0" applyFont="1" applyFill="1" applyBorder="1" applyAlignment="1" applyProtection="1">
      <alignment horizontal="center" vertical="center" wrapText="1"/>
      <protection locked="0"/>
    </xf>
    <xf numFmtId="0" fontId="67" fillId="40" borderId="12" xfId="0" applyFont="1" applyFill="1" applyBorder="1" applyAlignment="1" applyProtection="1">
      <alignment horizontal="center" vertical="center" wrapText="1"/>
      <protection locked="0"/>
    </xf>
    <xf numFmtId="0" fontId="72" fillId="40" borderId="12" xfId="0" applyFont="1" applyFill="1" applyBorder="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0" fontId="39" fillId="0" borderId="0" xfId="0" applyFont="1" applyAlignment="1" applyProtection="1">
      <alignment horizontal="center" vertical="center" shrinkToFit="1"/>
      <protection locked="0"/>
    </xf>
    <xf numFmtId="0" fontId="49" fillId="0" borderId="0" xfId="0" applyFont="1" applyAlignment="1" applyProtection="1">
      <alignment horizontal="center" vertical="center" wrapText="1" shrinkToFit="1"/>
      <protection locked="0"/>
    </xf>
    <xf numFmtId="0" fontId="30" fillId="0" borderId="0" xfId="0" applyFont="1" applyAlignment="1" applyProtection="1">
      <alignment horizontal="center" vertical="center" wrapText="1"/>
      <protection locked="0"/>
    </xf>
    <xf numFmtId="0" fontId="0" fillId="0" borderId="12" xfId="0" applyBorder="1" applyAlignment="1">
      <alignment wrapText="1"/>
    </xf>
    <xf numFmtId="0" fontId="0" fillId="0" borderId="111" xfId="0" applyBorder="1" applyAlignment="1">
      <alignment wrapText="1"/>
    </xf>
    <xf numFmtId="0" fontId="0" fillId="34" borderId="12" xfId="0" applyFill="1" applyBorder="1" applyAlignment="1">
      <alignment horizontal="center"/>
    </xf>
    <xf numFmtId="0" fontId="39" fillId="25" borderId="18" xfId="0" applyFont="1" applyFill="1" applyBorder="1" applyAlignment="1" applyProtection="1">
      <alignment horizontal="center" vertical="center" wrapText="1"/>
      <protection locked="0"/>
    </xf>
    <xf numFmtId="0" fontId="39" fillId="25" borderId="21" xfId="0" applyFont="1" applyFill="1" applyBorder="1" applyAlignment="1" applyProtection="1">
      <alignment horizontal="center" vertical="center" wrapText="1"/>
      <protection locked="0"/>
    </xf>
    <xf numFmtId="0" fontId="0" fillId="49" borderId="0" xfId="0" applyFill="1"/>
    <xf numFmtId="0" fontId="30" fillId="50" borderId="49" xfId="0" applyFont="1" applyFill="1" applyBorder="1" applyAlignment="1" applyProtection="1">
      <alignment horizontal="center" vertical="center" wrapText="1"/>
      <protection locked="0"/>
    </xf>
    <xf numFmtId="0" fontId="0" fillId="0" borderId="12" xfId="0" applyBorder="1" applyAlignment="1" applyProtection="1">
      <alignment horizontal="center"/>
      <protection locked="0"/>
    </xf>
    <xf numFmtId="0" fontId="30" fillId="0" borderId="26" xfId="0" applyFont="1" applyBorder="1" applyAlignment="1" applyProtection="1">
      <alignment vertical="center"/>
      <protection locked="0"/>
    </xf>
    <xf numFmtId="0" fontId="0" fillId="31" borderId="0" xfId="0" applyFill="1"/>
    <xf numFmtId="0" fontId="0" fillId="30" borderId="0" xfId="0" applyFill="1"/>
    <xf numFmtId="0" fontId="21" fillId="0" borderId="46" xfId="0" applyFont="1" applyBorder="1"/>
    <xf numFmtId="0" fontId="39" fillId="25" borderId="16" xfId="0" applyFont="1" applyFill="1" applyBorder="1" applyAlignment="1" applyProtection="1">
      <alignment horizontal="center" vertical="center" wrapText="1"/>
      <protection locked="0"/>
    </xf>
    <xf numFmtId="0" fontId="21" fillId="34" borderId="12" xfId="0" applyFont="1" applyFill="1" applyBorder="1"/>
    <xf numFmtId="0" fontId="0" fillId="0" borderId="58" xfId="0" applyBorder="1" applyProtection="1">
      <protection locked="0"/>
    </xf>
    <xf numFmtId="0" fontId="0" fillId="0" borderId="36" xfId="0" applyBorder="1" applyProtection="1">
      <protection locked="0"/>
    </xf>
    <xf numFmtId="0" fontId="21" fillId="0" borderId="12" xfId="0" applyFont="1" applyBorder="1"/>
    <xf numFmtId="0" fontId="37" fillId="0" borderId="46" xfId="0" applyFont="1" applyBorder="1" applyAlignment="1" applyProtection="1">
      <alignment horizontal="right" vertical="center"/>
      <protection locked="0"/>
    </xf>
    <xf numFmtId="0" fontId="57" fillId="0" borderId="71" xfId="0" applyFont="1" applyBorder="1" applyAlignment="1" applyProtection="1">
      <alignment horizontal="center" vertical="center"/>
      <protection locked="0"/>
    </xf>
    <xf numFmtId="2" fontId="0" fillId="0" borderId="12" xfId="0" applyNumberFormat="1" applyBorder="1" applyAlignment="1" applyProtection="1">
      <alignment horizontal="center"/>
      <protection locked="0"/>
    </xf>
    <xf numFmtId="2" fontId="39" fillId="50" borderId="16" xfId="0" applyNumberFormat="1" applyFont="1" applyFill="1" applyBorder="1" applyAlignment="1">
      <alignment horizontal="center" vertical="center" wrapText="1"/>
    </xf>
    <xf numFmtId="2" fontId="39" fillId="50" borderId="18" xfId="0" applyNumberFormat="1" applyFont="1" applyFill="1" applyBorder="1" applyAlignment="1">
      <alignment horizontal="center" vertical="center" wrapText="1"/>
    </xf>
    <xf numFmtId="2" fontId="39" fillId="50" borderId="21" xfId="0" applyNumberFormat="1" applyFont="1" applyFill="1" applyBorder="1" applyAlignment="1">
      <alignment horizontal="center" vertical="center" wrapText="1"/>
    </xf>
    <xf numFmtId="0" fontId="20" fillId="0" borderId="111" xfId="0" applyFont="1" applyBorder="1"/>
    <xf numFmtId="0" fontId="33" fillId="0" borderId="111" xfId="0" applyFont="1" applyBorder="1" applyAlignment="1" applyProtection="1">
      <alignment vertical="center"/>
      <protection locked="0"/>
    </xf>
    <xf numFmtId="0" fontId="0" fillId="0" borderId="111" xfId="0" applyBorder="1" applyProtection="1">
      <protection locked="0"/>
    </xf>
    <xf numFmtId="0" fontId="31" fillId="0" borderId="0" xfId="0" applyFont="1" applyAlignment="1" applyProtection="1">
      <alignment vertical="center"/>
      <protection locked="0"/>
    </xf>
    <xf numFmtId="0" fontId="53" fillId="0" borderId="0" xfId="0" applyFont="1" applyAlignment="1" applyProtection="1">
      <alignment vertical="center"/>
      <protection locked="0"/>
    </xf>
    <xf numFmtId="0" fontId="32" fillId="0" borderId="11" xfId="0" applyFont="1" applyBorder="1" applyAlignment="1" applyProtection="1">
      <alignment horizontal="left" vertical="center"/>
      <protection locked="0"/>
    </xf>
    <xf numFmtId="0" fontId="52" fillId="0" borderId="0" xfId="0" applyFont="1" applyAlignment="1" applyProtection="1">
      <alignment vertical="center" wrapText="1"/>
      <protection locked="0"/>
    </xf>
    <xf numFmtId="0" fontId="29" fillId="0" borderId="11" xfId="0" applyFont="1" applyBorder="1" applyAlignment="1" applyProtection="1">
      <alignment horizontal="left" vertical="center" indent="1" shrinkToFit="1"/>
      <protection locked="0"/>
    </xf>
    <xf numFmtId="0" fontId="29" fillId="0" borderId="11" xfId="0" applyFont="1" applyBorder="1" applyAlignment="1" applyProtection="1">
      <alignment horizontal="center" vertical="center" shrinkToFit="1"/>
      <protection locked="0"/>
    </xf>
    <xf numFmtId="0" fontId="29" fillId="0" borderId="12" xfId="0" applyFont="1" applyBorder="1" applyAlignment="1" applyProtection="1">
      <alignment horizontal="center" vertical="center"/>
      <protection locked="0"/>
    </xf>
    <xf numFmtId="0" fontId="54" fillId="0" borderId="12" xfId="0" applyFont="1" applyBorder="1" applyAlignment="1">
      <alignment horizontal="center" vertical="center"/>
    </xf>
    <xf numFmtId="0" fontId="75" fillId="0" borderId="12" xfId="0" applyFont="1" applyBorder="1" applyAlignment="1" applyProtection="1">
      <alignment vertical="center"/>
      <protection locked="0"/>
    </xf>
    <xf numFmtId="0" fontId="33" fillId="0" borderId="11" xfId="0" applyFont="1" applyBorder="1" applyAlignment="1" applyProtection="1">
      <alignment vertical="center"/>
      <protection locked="0"/>
    </xf>
    <xf numFmtId="0" fontId="0" fillId="0" borderId="112" xfId="0" applyBorder="1"/>
    <xf numFmtId="0" fontId="76" fillId="0" borderId="0" xfId="0" applyFont="1" applyAlignment="1" applyProtection="1">
      <alignment horizontal="center"/>
      <protection locked="0"/>
    </xf>
    <xf numFmtId="0" fontId="77" fillId="2" borderId="49" xfId="0" applyFont="1" applyFill="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39" fillId="33" borderId="16" xfId="0" applyFont="1" applyFill="1" applyBorder="1" applyAlignment="1" applyProtection="1">
      <alignment horizontal="center" vertical="center" wrapText="1" shrinkToFit="1"/>
      <protection locked="0"/>
    </xf>
    <xf numFmtId="0" fontId="54" fillId="0" borderId="12" xfId="0" applyFont="1" applyBorder="1" applyAlignment="1" applyProtection="1">
      <alignment horizontal="center" vertical="center"/>
      <protection locked="0"/>
    </xf>
    <xf numFmtId="0" fontId="20" fillId="29" borderId="0" xfId="0" applyFont="1" applyFill="1"/>
    <xf numFmtId="0" fontId="54" fillId="0" borderId="12" xfId="0" applyFont="1" applyBorder="1" applyAlignment="1" applyProtection="1">
      <alignment horizontal="center" vertical="center" wrapText="1"/>
      <protection locked="0"/>
    </xf>
    <xf numFmtId="0" fontId="32" fillId="26" borderId="12" xfId="0" applyFont="1" applyFill="1" applyBorder="1" applyAlignment="1" applyProtection="1">
      <alignment horizontal="center" vertical="center"/>
      <protection locked="0"/>
    </xf>
    <xf numFmtId="0" fontId="52" fillId="29" borderId="93" xfId="0" applyFont="1" applyFill="1" applyBorder="1" applyAlignment="1" applyProtection="1">
      <alignment horizontal="center" vertical="center"/>
      <protection locked="0"/>
    </xf>
    <xf numFmtId="0" fontId="32" fillId="29" borderId="0" xfId="0" applyFont="1" applyFill="1" applyAlignment="1" applyProtection="1">
      <alignment horizontal="center" vertical="center"/>
      <protection locked="0"/>
    </xf>
    <xf numFmtId="0" fontId="54" fillId="29" borderId="12" xfId="0" applyFont="1" applyFill="1" applyBorder="1" applyAlignment="1">
      <alignment horizontal="center" vertical="center"/>
    </xf>
    <xf numFmtId="0" fontId="39" fillId="0" borderId="19" xfId="0" applyFont="1" applyBorder="1" applyAlignment="1" applyProtection="1">
      <alignment horizontal="center" vertical="center"/>
      <protection locked="0"/>
    </xf>
    <xf numFmtId="0" fontId="39" fillId="0" borderId="24" xfId="0" applyFont="1" applyBorder="1" applyAlignment="1" applyProtection="1">
      <alignment horizontal="center" vertical="center"/>
      <protection locked="0"/>
    </xf>
    <xf numFmtId="0" fontId="30" fillId="2" borderId="49" xfId="0" applyFont="1" applyFill="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63" xfId="0" applyFont="1" applyBorder="1" applyAlignment="1" applyProtection="1">
      <alignment horizontal="center" vertical="center"/>
      <protection locked="0"/>
    </xf>
    <xf numFmtId="0" fontId="28" fillId="0" borderId="58" xfId="0" applyFont="1" applyBorder="1" applyAlignment="1" applyProtection="1">
      <alignment vertical="center"/>
      <protection locked="0"/>
    </xf>
    <xf numFmtId="0" fontId="33" fillId="0" borderId="111" xfId="0" applyFont="1" applyBorder="1" applyAlignment="1" applyProtection="1">
      <alignment horizontal="center" vertical="center"/>
      <protection locked="0"/>
    </xf>
    <xf numFmtId="0" fontId="33" fillId="0" borderId="34" xfId="0" applyFont="1" applyBorder="1" applyAlignment="1" applyProtection="1">
      <alignment vertical="center"/>
      <protection locked="0"/>
    </xf>
    <xf numFmtId="0" fontId="57" fillId="0" borderId="12" xfId="0" applyFont="1" applyBorder="1" applyAlignment="1" applyProtection="1">
      <alignment horizontal="center" vertical="center" shrinkToFit="1"/>
      <protection locked="0"/>
    </xf>
    <xf numFmtId="0" fontId="0" fillId="52" borderId="12" xfId="0" applyFill="1" applyBorder="1" applyAlignment="1">
      <alignment horizontal="center" vertical="center"/>
    </xf>
    <xf numFmtId="0" fontId="0" fillId="53" borderId="12" xfId="0" applyFill="1" applyBorder="1" applyAlignment="1">
      <alignment horizontal="center" vertical="center"/>
    </xf>
    <xf numFmtId="0" fontId="0" fillId="54" borderId="12" xfId="0" applyFill="1" applyBorder="1" applyAlignment="1">
      <alignment horizontal="center" vertical="center"/>
    </xf>
    <xf numFmtId="0" fontId="0" fillId="55" borderId="12" xfId="0" applyFill="1" applyBorder="1" applyAlignment="1">
      <alignment horizontal="center" vertical="center"/>
    </xf>
    <xf numFmtId="0" fontId="0" fillId="56" borderId="12" xfId="0" applyFill="1" applyBorder="1" applyAlignment="1">
      <alignment horizontal="center" vertical="center"/>
    </xf>
    <xf numFmtId="0" fontId="0" fillId="57" borderId="12" xfId="0" applyFill="1" applyBorder="1" applyAlignment="1">
      <alignment horizontal="center" vertical="center"/>
    </xf>
    <xf numFmtId="0" fontId="0" fillId="58" borderId="12" xfId="0" applyFill="1" applyBorder="1" applyAlignment="1">
      <alignment horizontal="center" vertical="center"/>
    </xf>
    <xf numFmtId="0" fontId="0" fillId="47" borderId="12" xfId="0" applyFill="1" applyBorder="1" applyAlignment="1">
      <alignment horizontal="center" vertical="center"/>
    </xf>
    <xf numFmtId="0" fontId="55" fillId="55" borderId="12" xfId="0" applyFont="1" applyFill="1" applyBorder="1" applyAlignment="1">
      <alignment horizontal="center" vertical="center"/>
    </xf>
    <xf numFmtId="0" fontId="57" fillId="0" borderId="113" xfId="0" applyFont="1" applyBorder="1" applyAlignment="1" applyProtection="1">
      <alignment horizontal="center" vertical="center"/>
      <protection locked="0"/>
    </xf>
    <xf numFmtId="0" fontId="0" fillId="52" borderId="12" xfId="0" applyFill="1" applyBorder="1" applyAlignment="1">
      <alignment horizontal="center"/>
    </xf>
    <xf numFmtId="0" fontId="0" fillId="53" borderId="12" xfId="0" applyFill="1" applyBorder="1" applyAlignment="1">
      <alignment horizontal="center"/>
    </xf>
    <xf numFmtId="0" fontId="0" fillId="54" borderId="12" xfId="0" applyFill="1" applyBorder="1" applyAlignment="1">
      <alignment horizontal="center"/>
    </xf>
    <xf numFmtId="0" fontId="0" fillId="55" borderId="12" xfId="0" applyFill="1" applyBorder="1" applyAlignment="1">
      <alignment horizontal="center"/>
    </xf>
    <xf numFmtId="0" fontId="0" fillId="56" borderId="12" xfId="0" applyFill="1" applyBorder="1" applyAlignment="1">
      <alignment horizontal="center"/>
    </xf>
    <xf numFmtId="0" fontId="0" fillId="57" borderId="12" xfId="0" applyFill="1" applyBorder="1" applyAlignment="1">
      <alignment horizontal="center"/>
    </xf>
    <xf numFmtId="0" fontId="0" fillId="58" borderId="12" xfId="0" applyFill="1" applyBorder="1" applyAlignment="1">
      <alignment horizontal="center"/>
    </xf>
    <xf numFmtId="0" fontId="0" fillId="47" borderId="12" xfId="0" applyFill="1" applyBorder="1" applyAlignment="1">
      <alignment horizontal="center"/>
    </xf>
    <xf numFmtId="0" fontId="55" fillId="55" borderId="12" xfId="0" applyFont="1" applyFill="1" applyBorder="1" applyAlignment="1">
      <alignment horizontal="center"/>
    </xf>
    <xf numFmtId="0" fontId="0" fillId="0" borderId="12" xfId="0" applyBorder="1" applyAlignment="1" applyProtection="1">
      <alignment horizontal="center" vertical="center"/>
      <protection locked="0"/>
    </xf>
    <xf numFmtId="0" fontId="0" fillId="26" borderId="12" xfId="0" applyFill="1"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12" xfId="0" applyBorder="1" applyProtection="1">
      <protection locked="0"/>
    </xf>
    <xf numFmtId="0" fontId="0" fillId="26" borderId="0" xfId="0" applyFill="1" applyProtection="1">
      <protection locked="0"/>
    </xf>
    <xf numFmtId="0" fontId="0" fillId="0" borderId="26" xfId="0" applyBorder="1" applyProtection="1">
      <protection locked="0"/>
    </xf>
    <xf numFmtId="0" fontId="0" fillId="29" borderId="0" xfId="0" applyFill="1" applyProtection="1">
      <protection locked="0"/>
    </xf>
    <xf numFmtId="0" fontId="55" fillId="0" borderId="0" xfId="0" applyFont="1" applyAlignment="1">
      <alignment horizontal="center"/>
    </xf>
    <xf numFmtId="0" fontId="55" fillId="47" borderId="12" xfId="0" applyFont="1" applyFill="1" applyBorder="1" applyAlignment="1">
      <alignment horizontal="center"/>
    </xf>
    <xf numFmtId="0" fontId="55" fillId="47" borderId="26" xfId="0" applyFont="1" applyFill="1" applyBorder="1"/>
    <xf numFmtId="0" fontId="55" fillId="56" borderId="12" xfId="0" applyFont="1" applyFill="1" applyBorder="1" applyAlignment="1">
      <alignment horizontal="center"/>
    </xf>
    <xf numFmtId="0" fontId="55" fillId="56" borderId="12" xfId="0" applyFont="1" applyFill="1" applyBorder="1" applyAlignment="1">
      <alignment wrapText="1"/>
    </xf>
    <xf numFmtId="0" fontId="55" fillId="47" borderId="12" xfId="0" applyFont="1" applyFill="1" applyBorder="1" applyAlignment="1">
      <alignment horizontal="center" vertical="center"/>
    </xf>
    <xf numFmtId="0" fontId="52" fillId="47" borderId="26" xfId="0" applyFont="1" applyFill="1" applyBorder="1" applyAlignment="1">
      <alignment horizontal="center" vertical="center"/>
    </xf>
    <xf numFmtId="0" fontId="55" fillId="56" borderId="12" xfId="0" applyFont="1" applyFill="1" applyBorder="1" applyAlignment="1">
      <alignment horizontal="center" vertical="center"/>
    </xf>
    <xf numFmtId="0" fontId="52" fillId="56" borderId="12" xfId="0" applyFont="1" applyFill="1" applyBorder="1" applyAlignment="1">
      <alignment horizontal="center" vertical="center"/>
    </xf>
    <xf numFmtId="0" fontId="55" fillId="0" borderId="0" xfId="0" applyFont="1" applyAlignment="1">
      <alignment vertical="center"/>
    </xf>
    <xf numFmtId="0" fontId="57" fillId="0" borderId="111" xfId="0" applyFont="1" applyBorder="1" applyAlignment="1" applyProtection="1">
      <alignment horizontal="center" vertical="center"/>
      <protection locked="0"/>
    </xf>
    <xf numFmtId="0" fontId="52" fillId="29" borderId="93" xfId="0" applyFont="1" applyFill="1" applyBorder="1" applyAlignment="1" applyProtection="1">
      <alignment horizontal="center" vertical="center" wrapText="1"/>
      <protection locked="0"/>
    </xf>
    <xf numFmtId="0" fontId="0" fillId="59" borderId="0" xfId="0" applyFill="1"/>
    <xf numFmtId="0" fontId="20" fillId="59" borderId="0" xfId="0" applyFont="1" applyFill="1"/>
    <xf numFmtId="0" fontId="52" fillId="59" borderId="93" xfId="0" applyFont="1" applyFill="1" applyBorder="1" applyAlignment="1" applyProtection="1">
      <alignment horizontal="center" vertical="center" wrapText="1"/>
      <protection locked="0"/>
    </xf>
    <xf numFmtId="0" fontId="32" fillId="59" borderId="12" xfId="0" applyFont="1" applyFill="1" applyBorder="1" applyAlignment="1" applyProtection="1">
      <alignment horizontal="center" vertical="center"/>
      <protection locked="0"/>
    </xf>
    <xf numFmtId="0" fontId="52" fillId="59" borderId="93" xfId="0" applyFont="1" applyFill="1" applyBorder="1" applyAlignment="1" applyProtection="1">
      <alignment horizontal="center" vertical="center"/>
      <protection locked="0"/>
    </xf>
    <xf numFmtId="0" fontId="54" fillId="59" borderId="12" xfId="0" applyFont="1" applyFill="1" applyBorder="1" applyAlignment="1">
      <alignment horizontal="center" vertical="center"/>
    </xf>
    <xf numFmtId="0" fontId="37" fillId="59" borderId="26" xfId="0" applyFont="1" applyFill="1" applyBorder="1" applyAlignment="1" applyProtection="1">
      <alignment horizontal="center" vertical="center" wrapText="1"/>
      <protection locked="0"/>
    </xf>
    <xf numFmtId="0" fontId="32" fillId="59" borderId="26" xfId="0" applyFont="1" applyFill="1" applyBorder="1" applyAlignment="1" applyProtection="1">
      <alignment horizontal="center" vertical="center"/>
      <protection locked="0"/>
    </xf>
    <xf numFmtId="0" fontId="37" fillId="59" borderId="12" xfId="0" applyFont="1" applyFill="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52" fillId="31" borderId="93" xfId="0" applyFont="1" applyFill="1" applyBorder="1" applyAlignment="1" applyProtection="1">
      <alignment horizontal="center" vertical="center"/>
      <protection locked="0"/>
    </xf>
    <xf numFmtId="0" fontId="52" fillId="31" borderId="93" xfId="0" applyFont="1" applyFill="1" applyBorder="1" applyAlignment="1">
      <alignment horizontal="center" vertical="center" wrapText="1"/>
    </xf>
    <xf numFmtId="0" fontId="52" fillId="59" borderId="93" xfId="0" applyFont="1" applyFill="1" applyBorder="1" applyAlignment="1">
      <alignment horizontal="center" vertical="center" wrapText="1"/>
    </xf>
    <xf numFmtId="0" fontId="39" fillId="59" borderId="12" xfId="0" applyFont="1" applyFill="1" applyBorder="1" applyAlignment="1">
      <alignment horizontal="center" vertical="center" wrapText="1"/>
    </xf>
    <xf numFmtId="0" fontId="19" fillId="59" borderId="0" xfId="34" applyFill="1" applyAlignment="1" applyProtection="1"/>
    <xf numFmtId="0" fontId="29" fillId="59" borderId="12" xfId="0" applyFont="1" applyFill="1" applyBorder="1" applyAlignment="1" applyProtection="1">
      <alignment horizontal="center" vertical="center" wrapText="1"/>
      <protection locked="0"/>
    </xf>
    <xf numFmtId="0" fontId="64" fillId="29" borderId="0" xfId="0" applyFont="1" applyFill="1" applyAlignment="1" applyProtection="1">
      <alignment horizontal="center" vertical="center"/>
      <protection locked="0"/>
    </xf>
    <xf numFmtId="0" fontId="52" fillId="29" borderId="12" xfId="0" applyFont="1" applyFill="1" applyBorder="1" applyAlignment="1" applyProtection="1">
      <alignment horizontal="center" vertical="center"/>
      <protection locked="0"/>
    </xf>
    <xf numFmtId="0" fontId="52" fillId="29" borderId="0" xfId="0" applyFont="1" applyFill="1" applyAlignment="1" applyProtection="1">
      <alignment horizontal="center" vertical="center"/>
      <protection locked="0"/>
    </xf>
    <xf numFmtId="0" fontId="32" fillId="59" borderId="0" xfId="0" applyFont="1" applyFill="1" applyAlignment="1" applyProtection="1">
      <alignment horizontal="center" vertical="center"/>
      <protection locked="0"/>
    </xf>
    <xf numFmtId="0" fontId="52" fillId="59" borderId="0" xfId="0" applyFont="1" applyFill="1" applyAlignment="1" applyProtection="1">
      <alignment horizontal="center"/>
      <protection locked="0"/>
    </xf>
    <xf numFmtId="0" fontId="78" fillId="0" borderId="0" xfId="0" applyFont="1"/>
    <xf numFmtId="0" fontId="79" fillId="0" borderId="7" xfId="0" applyFont="1" applyBorder="1" applyAlignment="1">
      <alignment horizontal="left" wrapText="1"/>
    </xf>
    <xf numFmtId="0" fontId="78" fillId="26" borderId="0" xfId="0" applyFont="1" applyFill="1"/>
    <xf numFmtId="0" fontId="78" fillId="0" borderId="0" xfId="0" applyFont="1" applyAlignment="1">
      <alignment wrapText="1"/>
    </xf>
    <xf numFmtId="0" fontId="80" fillId="0" borderId="0" xfId="0" applyFont="1"/>
    <xf numFmtId="0" fontId="78" fillId="0" borderId="12" xfId="0" applyFont="1" applyBorder="1"/>
    <xf numFmtId="0" fontId="78" fillId="0" borderId="0" xfId="0" applyFont="1" applyAlignment="1">
      <alignment horizontal="center"/>
    </xf>
    <xf numFmtId="0" fontId="78" fillId="29" borderId="0" xfId="0" applyFont="1" applyFill="1"/>
    <xf numFmtId="0" fontId="78" fillId="31" borderId="0" xfId="0" applyFont="1" applyFill="1"/>
    <xf numFmtId="0" fontId="78" fillId="29" borderId="12" xfId="0" applyFont="1" applyFill="1" applyBorder="1"/>
    <xf numFmtId="0" fontId="78" fillId="26" borderId="12" xfId="0" applyFont="1" applyFill="1" applyBorder="1"/>
    <xf numFmtId="0" fontId="78" fillId="59" borderId="12" xfId="0" applyFont="1" applyFill="1" applyBorder="1"/>
    <xf numFmtId="0" fontId="78" fillId="59" borderId="0" xfId="0" applyFont="1" applyFill="1"/>
    <xf numFmtId="0" fontId="78" fillId="0" borderId="12" xfId="0" applyFont="1" applyBorder="1" applyAlignment="1">
      <alignment horizontal="center"/>
    </xf>
    <xf numFmtId="0" fontId="78" fillId="0" borderId="12" xfId="0" applyFont="1" applyBorder="1" applyAlignment="1">
      <alignment wrapText="1"/>
    </xf>
    <xf numFmtId="0" fontId="79" fillId="0" borderId="7" xfId="0" applyFont="1" applyBorder="1" applyAlignment="1">
      <alignment horizontal="left"/>
    </xf>
    <xf numFmtId="0" fontId="81" fillId="0" borderId="0" xfId="0" applyFont="1" applyProtection="1">
      <protection locked="0"/>
    </xf>
    <xf numFmtId="0" fontId="81" fillId="0" borderId="0" xfId="0" applyFont="1" applyAlignment="1" applyProtection="1">
      <alignment wrapText="1"/>
      <protection locked="0"/>
    </xf>
    <xf numFmtId="0" fontId="87" fillId="0" borderId="12" xfId="0" applyFont="1" applyBorder="1" applyAlignment="1" applyProtection="1">
      <alignment horizontal="center" vertical="center"/>
      <protection locked="0"/>
    </xf>
    <xf numFmtId="0" fontId="81" fillId="0" borderId="0" xfId="0" applyFont="1" applyAlignment="1" applyProtection="1">
      <alignment vertical="center"/>
      <protection locked="0"/>
    </xf>
    <xf numFmtId="0" fontId="88" fillId="10" borderId="12" xfId="0" applyFont="1" applyFill="1" applyBorder="1" applyAlignment="1" applyProtection="1">
      <alignment horizontal="center"/>
      <protection locked="0"/>
    </xf>
    <xf numFmtId="1" fontId="89" fillId="0" borderId="12" xfId="0" applyNumberFormat="1" applyFont="1" applyBorder="1" applyAlignment="1">
      <alignment horizontal="center"/>
    </xf>
    <xf numFmtId="0" fontId="81" fillId="27" borderId="12" xfId="0" applyFont="1" applyFill="1" applyBorder="1" applyAlignment="1" applyProtection="1">
      <alignment horizontal="center"/>
      <protection locked="0"/>
    </xf>
    <xf numFmtId="0" fontId="81" fillId="29" borderId="12" xfId="0" applyFont="1" applyFill="1" applyBorder="1" applyAlignment="1" applyProtection="1">
      <alignment horizontal="center"/>
      <protection locked="0"/>
    </xf>
    <xf numFmtId="0" fontId="89" fillId="0" borderId="12" xfId="0" applyFont="1" applyBorder="1" applyAlignment="1">
      <alignment horizontal="center"/>
    </xf>
    <xf numFmtId="0" fontId="81" fillId="43" borderId="12" xfId="0" applyFont="1" applyFill="1" applyBorder="1" applyAlignment="1" applyProtection="1">
      <alignment horizontal="center"/>
      <protection locked="0"/>
    </xf>
    <xf numFmtId="0" fontId="81" fillId="31" borderId="12" xfId="0" applyFont="1" applyFill="1" applyBorder="1" applyAlignment="1" applyProtection="1">
      <alignment horizontal="center"/>
      <protection locked="0"/>
    </xf>
    <xf numFmtId="0" fontId="89" fillId="0" borderId="27" xfId="0" applyFont="1" applyBorder="1" applyProtection="1">
      <protection locked="0"/>
    </xf>
    <xf numFmtId="0" fontId="89" fillId="0" borderId="0" xfId="0" applyFont="1" applyAlignment="1" applyProtection="1">
      <alignment horizontal="center"/>
      <protection locked="0"/>
    </xf>
    <xf numFmtId="0" fontId="81" fillId="0" borderId="0" xfId="0" applyFont="1" applyAlignment="1" applyProtection="1">
      <alignment horizontal="center"/>
      <protection locked="0"/>
    </xf>
    <xf numFmtId="0" fontId="81" fillId="26" borderId="12" xfId="0" applyFont="1" applyFill="1" applyBorder="1" applyAlignment="1" applyProtection="1">
      <alignment horizontal="center"/>
      <protection locked="0"/>
    </xf>
    <xf numFmtId="0" fontId="81" fillId="30" borderId="12" xfId="0" applyFont="1" applyFill="1" applyBorder="1" applyAlignment="1" applyProtection="1">
      <alignment horizontal="center"/>
      <protection locked="0"/>
    </xf>
    <xf numFmtId="0" fontId="81" fillId="42" borderId="12" xfId="0" applyFont="1" applyFill="1" applyBorder="1" applyAlignment="1" applyProtection="1">
      <alignment horizontal="center"/>
      <protection locked="0"/>
    </xf>
    <xf numFmtId="0" fontId="81" fillId="51" borderId="12" xfId="0" applyFont="1" applyFill="1" applyBorder="1" applyAlignment="1" applyProtection="1">
      <alignment horizontal="center"/>
      <protection locked="0"/>
    </xf>
    <xf numFmtId="0" fontId="90" fillId="0" borderId="12" xfId="0" applyFont="1" applyBorder="1" applyAlignment="1" applyProtection="1">
      <alignment horizontal="center"/>
      <protection locked="0"/>
    </xf>
    <xf numFmtId="0" fontId="0" fillId="26" borderId="0" xfId="0" applyFill="1" applyAlignment="1" applyProtection="1">
      <alignment horizontal="center" vertical="center"/>
      <protection locked="0"/>
    </xf>
    <xf numFmtId="0" fontId="97" fillId="0" borderId="0" xfId="0" applyFont="1" applyAlignment="1" applyProtection="1">
      <alignment horizontal="left" vertical="center"/>
      <protection locked="0"/>
    </xf>
    <xf numFmtId="0" fontId="93" fillId="0" borderId="0" xfId="0" applyFont="1" applyProtection="1">
      <protection locked="0"/>
    </xf>
    <xf numFmtId="0" fontId="94" fillId="0" borderId="0" xfId="0" applyFont="1" applyAlignment="1" applyProtection="1">
      <alignment horizontal="left" vertical="center" indent="1" shrinkToFit="1"/>
      <protection locked="0"/>
    </xf>
    <xf numFmtId="0" fontId="93" fillId="0" borderId="0" xfId="0" applyFont="1" applyAlignment="1" applyProtection="1">
      <alignment horizontal="left" vertical="center"/>
      <protection locked="0"/>
    </xf>
    <xf numFmtId="0" fontId="93" fillId="0" borderId="0" xfId="0" applyFont="1" applyAlignment="1" applyProtection="1">
      <alignment horizontal="center" vertical="center"/>
      <protection locked="0"/>
    </xf>
    <xf numFmtId="0" fontId="103" fillId="0" borderId="33" xfId="0" applyFont="1" applyBorder="1" applyAlignment="1" applyProtection="1">
      <alignment horizontal="left" vertical="center"/>
      <protection locked="0"/>
    </xf>
    <xf numFmtId="0" fontId="94" fillId="0" borderId="0" xfId="0" applyFont="1" applyAlignment="1" applyProtection="1">
      <alignment horizontal="center" vertical="center" shrinkToFit="1"/>
      <protection locked="0"/>
    </xf>
    <xf numFmtId="0" fontId="97" fillId="0" borderId="0" xfId="0" applyFont="1" applyAlignment="1" applyProtection="1">
      <alignment vertical="center"/>
      <protection locked="0"/>
    </xf>
    <xf numFmtId="0" fontId="97" fillId="0" borderId="0" xfId="0" applyFont="1" applyAlignment="1" applyProtection="1">
      <alignment horizontal="center" vertical="center"/>
      <protection locked="0"/>
    </xf>
    <xf numFmtId="0" fontId="95" fillId="2" borderId="48" xfId="0" applyFont="1" applyFill="1" applyBorder="1" applyAlignment="1" applyProtection="1">
      <alignment horizontal="center" vertical="center" wrapText="1"/>
      <protection locked="0"/>
    </xf>
    <xf numFmtId="0" fontId="95" fillId="2" borderId="49" xfId="0" applyFont="1" applyFill="1" applyBorder="1" applyAlignment="1" applyProtection="1">
      <alignment horizontal="center" vertical="center" wrapText="1"/>
      <protection locked="0"/>
    </xf>
    <xf numFmtId="0" fontId="95" fillId="2" borderId="50" xfId="0" applyFont="1" applyFill="1" applyBorder="1" applyAlignment="1" applyProtection="1">
      <alignment horizontal="center" vertical="center" wrapText="1"/>
      <protection locked="0"/>
    </xf>
    <xf numFmtId="0" fontId="95" fillId="2" borderId="51" xfId="0" applyFont="1" applyFill="1" applyBorder="1" applyAlignment="1" applyProtection="1">
      <alignment horizontal="center" vertical="center" wrapText="1"/>
      <protection locked="0"/>
    </xf>
    <xf numFmtId="0" fontId="95" fillId="2" borderId="52" xfId="0" applyFont="1" applyFill="1" applyBorder="1" applyAlignment="1" applyProtection="1">
      <alignment horizontal="center" vertical="center" wrapText="1"/>
      <protection locked="0"/>
    </xf>
    <xf numFmtId="0" fontId="95" fillId="2" borderId="0" xfId="0" applyFont="1" applyFill="1" applyAlignment="1" applyProtection="1">
      <alignment horizontal="center" vertical="center" wrapText="1"/>
      <protection locked="0"/>
    </xf>
    <xf numFmtId="0" fontId="95" fillId="0" borderId="40" xfId="0" applyFont="1" applyBorder="1" applyAlignment="1" applyProtection="1">
      <alignment horizontal="center" vertical="center"/>
      <protection locked="0"/>
    </xf>
    <xf numFmtId="0" fontId="106" fillId="0" borderId="24" xfId="0" applyFont="1" applyBorder="1" applyAlignment="1" applyProtection="1">
      <alignment horizontal="center" vertical="center" wrapText="1"/>
      <protection locked="0"/>
    </xf>
    <xf numFmtId="0" fontId="106" fillId="0" borderId="16" xfId="0" applyFont="1" applyBorder="1" applyAlignment="1" applyProtection="1">
      <alignment horizontal="center" vertical="center" wrapText="1"/>
      <protection locked="0"/>
    </xf>
    <xf numFmtId="0" fontId="106" fillId="0" borderId="25" xfId="0" applyFont="1" applyBorder="1" applyAlignment="1" applyProtection="1">
      <alignment horizontal="center" vertical="center"/>
      <protection locked="0"/>
    </xf>
    <xf numFmtId="0" fontId="106" fillId="0" borderId="16" xfId="0" applyFont="1" applyBorder="1" applyAlignment="1" applyProtection="1">
      <alignment horizontal="center" vertical="center"/>
      <protection locked="0"/>
    </xf>
    <xf numFmtId="0" fontId="106" fillId="0" borderId="16" xfId="0" applyFont="1" applyBorder="1" applyAlignment="1" applyProtection="1">
      <alignment horizontal="center" vertical="center" wrapText="1" shrinkToFit="1"/>
      <protection locked="0"/>
    </xf>
    <xf numFmtId="0" fontId="106" fillId="0" borderId="25" xfId="0" applyFont="1" applyBorder="1" applyAlignment="1" applyProtection="1">
      <alignment horizontal="center" vertical="center" wrapText="1"/>
      <protection locked="0"/>
    </xf>
    <xf numFmtId="0" fontId="106" fillId="0" borderId="31" xfId="0" applyFont="1" applyBorder="1" applyAlignment="1" applyProtection="1">
      <alignment horizontal="center" vertical="center" shrinkToFit="1"/>
      <protection locked="0"/>
    </xf>
    <xf numFmtId="0" fontId="106" fillId="0" borderId="0" xfId="0" applyFont="1" applyAlignment="1" applyProtection="1">
      <alignment horizontal="center" vertical="center" shrinkToFit="1"/>
      <protection locked="0"/>
    </xf>
    <xf numFmtId="0" fontId="107" fillId="0" borderId="0" xfId="0" applyFont="1" applyAlignment="1" applyProtection="1">
      <alignment horizontal="center" vertical="center" wrapText="1" shrinkToFit="1"/>
      <protection locked="0"/>
    </xf>
    <xf numFmtId="0" fontId="95" fillId="0" borderId="41" xfId="0" applyFont="1" applyBorder="1" applyAlignment="1" applyProtection="1">
      <alignment horizontal="center" vertical="center"/>
      <protection locked="0"/>
    </xf>
    <xf numFmtId="0" fontId="106" fillId="0" borderId="18" xfId="0" applyFont="1" applyBorder="1" applyAlignment="1" applyProtection="1">
      <alignment horizontal="center" vertical="center" wrapText="1"/>
      <protection locked="0"/>
    </xf>
    <xf numFmtId="0" fontId="106" fillId="0" borderId="19" xfId="0" applyFont="1" applyBorder="1" applyAlignment="1" applyProtection="1">
      <alignment horizontal="center" vertical="center" wrapText="1"/>
      <protection locked="0"/>
    </xf>
    <xf numFmtId="0" fontId="106" fillId="0" borderId="18" xfId="0" applyFont="1" applyBorder="1" applyAlignment="1" applyProtection="1">
      <alignment horizontal="center" vertical="center"/>
      <protection locked="0"/>
    </xf>
    <xf numFmtId="0" fontId="106" fillId="0" borderId="18" xfId="0" applyFont="1" applyBorder="1" applyAlignment="1" applyProtection="1">
      <alignment horizontal="center" vertical="center" wrapText="1" shrinkToFit="1"/>
      <protection locked="0"/>
    </xf>
    <xf numFmtId="0" fontId="106" fillId="0" borderId="29" xfId="0" applyFont="1" applyBorder="1" applyAlignment="1" applyProtection="1">
      <alignment horizontal="center" vertical="center" shrinkToFit="1"/>
      <protection locked="0"/>
    </xf>
    <xf numFmtId="0" fontId="95" fillId="0" borderId="42" xfId="0" applyFont="1" applyBorder="1" applyAlignment="1" applyProtection="1">
      <alignment horizontal="center" vertical="center"/>
      <protection locked="0"/>
    </xf>
    <xf numFmtId="0" fontId="106" fillId="0" borderId="20" xfId="0" applyFont="1" applyBorder="1" applyAlignment="1" applyProtection="1">
      <alignment horizontal="center" vertical="center" wrapText="1"/>
      <protection locked="0"/>
    </xf>
    <xf numFmtId="0" fontId="106" fillId="0" borderId="17" xfId="0" applyFont="1" applyBorder="1" applyAlignment="1" applyProtection="1">
      <alignment horizontal="center" vertical="center" wrapText="1"/>
      <protection locked="0"/>
    </xf>
    <xf numFmtId="0" fontId="106" fillId="0" borderId="55" xfId="0" applyFont="1" applyBorder="1" applyAlignment="1" applyProtection="1">
      <alignment horizontal="center" vertical="center" wrapText="1"/>
      <protection locked="0"/>
    </xf>
    <xf numFmtId="0" fontId="106" fillId="0" borderId="14" xfId="0" applyFont="1" applyBorder="1" applyAlignment="1" applyProtection="1">
      <alignment horizontal="center" vertical="center" wrapText="1"/>
      <protection locked="0"/>
    </xf>
    <xf numFmtId="0" fontId="106" fillId="0" borderId="15" xfId="0" applyFont="1" applyBorder="1" applyAlignment="1" applyProtection="1">
      <alignment horizontal="center" vertical="center" wrapText="1"/>
      <protection locked="0"/>
    </xf>
    <xf numFmtId="0" fontId="97" fillId="0" borderId="18" xfId="0" applyFont="1" applyBorder="1" applyAlignment="1" applyProtection="1">
      <alignment vertical="center"/>
      <protection locked="0"/>
    </xf>
    <xf numFmtId="0" fontId="95" fillId="0" borderId="43" xfId="0" applyFont="1" applyBorder="1" applyAlignment="1" applyProtection="1">
      <alignment horizontal="center" vertical="center"/>
      <protection locked="0"/>
    </xf>
    <xf numFmtId="0" fontId="106" fillId="0" borderId="21" xfId="0" applyFont="1" applyBorder="1" applyAlignment="1" applyProtection="1">
      <alignment horizontal="center" vertical="center" wrapText="1"/>
      <protection locked="0"/>
    </xf>
    <xf numFmtId="0" fontId="97" fillId="0" borderId="21" xfId="0" applyFont="1" applyBorder="1" applyAlignment="1" applyProtection="1">
      <alignment vertical="center"/>
      <protection locked="0"/>
    </xf>
    <xf numFmtId="0" fontId="106" fillId="0" borderId="22" xfId="0" applyFont="1" applyBorder="1" applyAlignment="1" applyProtection="1">
      <alignment horizontal="center" vertical="center" wrapText="1"/>
      <protection locked="0"/>
    </xf>
    <xf numFmtId="0" fontId="106" fillId="0" borderId="21" xfId="0" applyFont="1" applyBorder="1" applyAlignment="1" applyProtection="1">
      <alignment horizontal="center" vertical="center"/>
      <protection locked="0"/>
    </xf>
    <xf numFmtId="0" fontId="106" fillId="0" borderId="21" xfId="0" applyFont="1" applyBorder="1" applyAlignment="1" applyProtection="1">
      <alignment horizontal="center" vertical="center" wrapText="1" shrinkToFit="1"/>
      <protection locked="0"/>
    </xf>
    <xf numFmtId="0" fontId="106" fillId="0" borderId="30" xfId="0" applyFont="1" applyBorder="1" applyAlignment="1" applyProtection="1">
      <alignment horizontal="center" vertical="center" shrinkToFit="1"/>
      <protection locked="0"/>
    </xf>
    <xf numFmtId="0" fontId="108" fillId="25" borderId="12"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23" fillId="0" borderId="0" xfId="0" applyFont="1" applyProtection="1">
      <protection locked="0"/>
    </xf>
    <xf numFmtId="0" fontId="108" fillId="25" borderId="12" xfId="34" applyFont="1" applyFill="1" applyBorder="1" applyAlignment="1" applyProtection="1">
      <alignment horizontal="center" vertical="center" wrapText="1"/>
      <protection locked="0"/>
    </xf>
    <xf numFmtId="0" fontId="20" fillId="0" borderId="36" xfId="0" applyFont="1" applyBorder="1" applyAlignment="1" applyProtection="1">
      <alignment horizontal="center" vertical="center"/>
      <protection locked="0"/>
    </xf>
    <xf numFmtId="0" fontId="0" fillId="27" borderId="12" xfId="0" applyFill="1" applyBorder="1"/>
    <xf numFmtId="0" fontId="0" fillId="34" borderId="12" xfId="0" applyFill="1" applyBorder="1"/>
    <xf numFmtId="0" fontId="0" fillId="58" borderId="0" xfId="0" applyFill="1"/>
    <xf numFmtId="0" fontId="78" fillId="58" borderId="0" xfId="0" applyFont="1" applyFill="1"/>
    <xf numFmtId="0" fontId="21" fillId="29" borderId="111" xfId="0" applyFont="1" applyFill="1" applyBorder="1"/>
    <xf numFmtId="0" fontId="0" fillId="52" borderId="0" xfId="0" applyFill="1" applyAlignment="1">
      <alignment horizontal="center"/>
    </xf>
    <xf numFmtId="0" fontId="0" fillId="52" borderId="26" xfId="0" applyFill="1" applyBorder="1" applyAlignment="1">
      <alignment horizontal="center"/>
    </xf>
    <xf numFmtId="0" fontId="0" fillId="47" borderId="26" xfId="0" applyFill="1" applyBorder="1" applyAlignment="1">
      <alignment horizontal="center"/>
    </xf>
    <xf numFmtId="0" fontId="0" fillId="0" borderId="26" xfId="0" applyBorder="1"/>
    <xf numFmtId="0" fontId="0" fillId="0" borderId="62" xfId="0" applyBorder="1"/>
    <xf numFmtId="0" fontId="109" fillId="0" borderId="12" xfId="0" applyFont="1" applyBorder="1" applyAlignment="1">
      <alignment vertical="center"/>
    </xf>
    <xf numFmtId="0" fontId="109" fillId="0" borderId="26" xfId="0" applyFont="1" applyBorder="1" applyAlignment="1">
      <alignment vertical="center"/>
    </xf>
    <xf numFmtId="0" fontId="0" fillId="0" borderId="47" xfId="0" applyBorder="1"/>
    <xf numFmtId="0" fontId="0" fillId="0" borderId="36" xfId="0" applyBorder="1" applyAlignment="1" applyProtection="1">
      <alignment horizontal="center"/>
      <protection locked="0"/>
    </xf>
    <xf numFmtId="0" fontId="110" fillId="60" borderId="12" xfId="0" applyFont="1" applyFill="1" applyBorder="1" applyAlignment="1">
      <alignment vertical="center"/>
    </xf>
    <xf numFmtId="0" fontId="0" fillId="26" borderId="0" xfId="0" applyFill="1" applyAlignment="1" applyProtection="1">
      <alignment horizontal="center"/>
      <protection locked="0"/>
    </xf>
    <xf numFmtId="0" fontId="78" fillId="26" borderId="12" xfId="0" applyFont="1" applyFill="1" applyBorder="1" applyAlignment="1">
      <alignment horizontal="center" vertical="center"/>
    </xf>
    <xf numFmtId="0" fontId="78" fillId="47" borderId="12" xfId="0" applyFont="1" applyFill="1" applyBorder="1" applyAlignment="1">
      <alignment horizontal="center" vertical="center"/>
    </xf>
    <xf numFmtId="0" fontId="0" fillId="0" borderId="36" xfId="0" applyBorder="1"/>
    <xf numFmtId="0" fontId="0" fillId="33" borderId="12" xfId="0" applyFill="1" applyBorder="1"/>
    <xf numFmtId="0" fontId="109" fillId="0" borderId="36" xfId="0" applyFont="1" applyBorder="1" applyAlignment="1">
      <alignment vertical="center"/>
    </xf>
    <xf numFmtId="0" fontId="110" fillId="26" borderId="114" xfId="0" applyFont="1" applyFill="1" applyBorder="1" applyAlignment="1">
      <alignment vertical="center"/>
    </xf>
    <xf numFmtId="0" fontId="111" fillId="26" borderId="115" xfId="0" applyFont="1" applyFill="1" applyBorder="1" applyAlignment="1">
      <alignment vertical="center"/>
    </xf>
    <xf numFmtId="0" fontId="109" fillId="0" borderId="115" xfId="0" applyFont="1" applyBorder="1" applyAlignment="1">
      <alignment vertical="center"/>
    </xf>
    <xf numFmtId="0" fontId="30" fillId="38" borderId="49" xfId="0" applyFont="1" applyFill="1" applyBorder="1" applyAlignment="1" applyProtection="1">
      <alignment horizontal="center" vertical="center" wrapText="1"/>
      <protection locked="0"/>
    </xf>
    <xf numFmtId="0" fontId="30" fillId="38" borderId="50" xfId="0" applyFont="1" applyFill="1" applyBorder="1" applyAlignment="1" applyProtection="1">
      <alignment horizontal="center" vertical="center" wrapText="1"/>
      <protection locked="0"/>
    </xf>
    <xf numFmtId="0" fontId="21" fillId="0" borderId="11" xfId="0" applyFont="1" applyBorder="1"/>
    <xf numFmtId="0" fontId="20" fillId="26" borderId="12" xfId="0" applyFont="1" applyFill="1" applyBorder="1"/>
    <xf numFmtId="0" fontId="20" fillId="29" borderId="12" xfId="0" applyFont="1" applyFill="1" applyBorder="1"/>
    <xf numFmtId="0" fontId="110" fillId="0" borderId="0" xfId="0" applyFont="1"/>
    <xf numFmtId="0" fontId="110" fillId="60" borderId="0" xfId="0" applyFont="1" applyFill="1" applyAlignment="1">
      <alignment vertical="center"/>
    </xf>
    <xf numFmtId="0" fontId="111" fillId="0" borderId="115" xfId="0" applyFont="1" applyBorder="1" applyAlignment="1">
      <alignment horizontal="center" vertical="center"/>
    </xf>
    <xf numFmtId="0" fontId="39" fillId="0" borderId="13" xfId="0" applyFont="1" applyBorder="1" applyAlignment="1" applyProtection="1">
      <alignment horizontal="center" vertical="center" wrapText="1" shrinkToFit="1"/>
      <protection locked="0"/>
    </xf>
    <xf numFmtId="0" fontId="1" fillId="0" borderId="12" xfId="0" applyFont="1" applyBorder="1" applyAlignment="1">
      <alignment horizontal="left"/>
    </xf>
    <xf numFmtId="0" fontId="1" fillId="26" borderId="12" xfId="0" applyFont="1" applyFill="1" applyBorder="1" applyAlignment="1">
      <alignment horizontal="left"/>
    </xf>
    <xf numFmtId="0" fontId="1" fillId="61" borderId="12" xfId="0" applyFont="1" applyFill="1" applyBorder="1" applyAlignment="1">
      <alignment horizontal="left"/>
    </xf>
    <xf numFmtId="0" fontId="39" fillId="0" borderId="25" xfId="0" applyFont="1" applyBorder="1" applyAlignment="1" applyProtection="1">
      <alignment horizontal="center" vertical="center" wrapText="1" shrinkToFit="1"/>
      <protection locked="0"/>
    </xf>
    <xf numFmtId="0" fontId="39" fillId="0" borderId="19" xfId="0" applyFont="1" applyBorder="1" applyAlignment="1" applyProtection="1">
      <alignment horizontal="center" vertical="center" shrinkToFit="1"/>
      <protection locked="0"/>
    </xf>
    <xf numFmtId="0" fontId="39" fillId="0" borderId="22" xfId="0" applyFont="1" applyBorder="1" applyAlignment="1" applyProtection="1">
      <alignment horizontal="center" vertical="center" shrinkToFit="1"/>
      <protection locked="0"/>
    </xf>
    <xf numFmtId="2" fontId="0" fillId="0" borderId="0" xfId="0" applyNumberFormat="1" applyAlignment="1" applyProtection="1">
      <alignment horizontal="center"/>
      <protection locked="0"/>
    </xf>
    <xf numFmtId="0" fontId="55" fillId="0" borderId="26" xfId="0" applyFont="1" applyBorder="1" applyAlignment="1" applyProtection="1">
      <alignment horizontal="center" vertical="center" shrinkToFit="1"/>
      <protection locked="0"/>
    </xf>
    <xf numFmtId="0" fontId="39" fillId="0" borderId="20" xfId="0" applyFont="1" applyBorder="1" applyAlignment="1" applyProtection="1">
      <alignment horizontal="center" vertical="center" shrinkToFit="1"/>
      <protection locked="0"/>
    </xf>
    <xf numFmtId="0" fontId="78" fillId="0" borderId="0" xfId="0" applyFont="1" applyAlignment="1" applyProtection="1">
      <alignment horizontal="center"/>
      <protection locked="0"/>
    </xf>
    <xf numFmtId="0" fontId="30" fillId="38" borderId="26" xfId="0" applyFont="1" applyFill="1" applyBorder="1" applyAlignment="1" applyProtection="1">
      <alignment horizontal="center" vertical="center"/>
      <protection locked="0"/>
    </xf>
    <xf numFmtId="0" fontId="52" fillId="38" borderId="119" xfId="0" applyFont="1" applyFill="1" applyBorder="1" applyAlignment="1" applyProtection="1">
      <alignment horizontal="center" vertical="center" wrapText="1"/>
      <protection locked="0"/>
    </xf>
    <xf numFmtId="2" fontId="55" fillId="0" borderId="119" xfId="0" applyNumberFormat="1" applyFont="1" applyBorder="1" applyAlignment="1">
      <alignment horizontal="center" vertical="center"/>
    </xf>
    <xf numFmtId="0" fontId="32" fillId="0" borderId="120" xfId="0" applyFont="1" applyBorder="1" applyAlignment="1">
      <alignment vertical="center"/>
    </xf>
    <xf numFmtId="0" fontId="30" fillId="2" borderId="118" xfId="0" applyFont="1" applyFill="1" applyBorder="1" applyAlignment="1">
      <alignment horizontal="center" vertical="center" wrapText="1"/>
    </xf>
    <xf numFmtId="2" fontId="39" fillId="0" borderId="117" xfId="0" applyNumberFormat="1" applyFont="1" applyBorder="1" applyAlignment="1">
      <alignment horizontal="center" vertical="center" shrinkToFit="1"/>
    </xf>
    <xf numFmtId="0" fontId="0" fillId="45" borderId="0" xfId="0" applyFill="1"/>
    <xf numFmtId="0" fontId="0" fillId="48" borderId="0" xfId="0" applyFill="1"/>
    <xf numFmtId="0" fontId="78" fillId="0" borderId="0" xfId="0" applyFont="1" applyProtection="1">
      <protection locked="0"/>
    </xf>
    <xf numFmtId="0" fontId="93" fillId="0" borderId="12" xfId="0" applyFont="1" applyBorder="1" applyProtection="1">
      <protection locked="0"/>
    </xf>
    <xf numFmtId="0" fontId="57" fillId="34" borderId="12" xfId="0" applyFont="1" applyFill="1" applyBorder="1" applyAlignment="1">
      <alignment horizontal="center" vertical="center" wrapText="1"/>
    </xf>
    <xf numFmtId="0" fontId="91" fillId="0" borderId="12" xfId="0" applyFont="1" applyBorder="1" applyAlignment="1" applyProtection="1">
      <alignment horizontal="center" vertical="center" wrapText="1"/>
      <protection locked="0"/>
    </xf>
    <xf numFmtId="0" fontId="91" fillId="0" borderId="12" xfId="0" applyFont="1" applyBorder="1" applyAlignment="1" applyProtection="1">
      <alignment horizontal="center" vertical="center"/>
      <protection locked="0"/>
    </xf>
    <xf numFmtId="0" fontId="89" fillId="0" borderId="12" xfId="0" applyFont="1" applyBorder="1" applyProtection="1">
      <protection locked="0"/>
    </xf>
    <xf numFmtId="0" fontId="88" fillId="0" borderId="33" xfId="0" applyFont="1" applyBorder="1" applyAlignment="1" applyProtection="1">
      <alignment horizontal="center"/>
      <protection locked="0"/>
    </xf>
    <xf numFmtId="0" fontId="88" fillId="28" borderId="26" xfId="0" applyFont="1" applyFill="1" applyBorder="1" applyAlignment="1" applyProtection="1">
      <alignment horizontal="center"/>
      <protection locked="0"/>
    </xf>
    <xf numFmtId="0" fontId="88" fillId="28" borderId="35" xfId="0" applyFont="1" applyFill="1" applyBorder="1" applyAlignment="1" applyProtection="1">
      <alignment horizontal="center"/>
      <protection locked="0"/>
    </xf>
    <xf numFmtId="0" fontId="88" fillId="28" borderId="36" xfId="0" applyFont="1" applyFill="1" applyBorder="1" applyAlignment="1" applyProtection="1">
      <alignment horizontal="center"/>
      <protection locked="0"/>
    </xf>
    <xf numFmtId="0" fontId="90" fillId="0" borderId="26" xfId="0" applyFont="1" applyBorder="1" applyAlignment="1">
      <alignment horizontal="center"/>
    </xf>
    <xf numFmtId="0" fontId="90" fillId="0" borderId="35" xfId="0" applyFont="1" applyBorder="1" applyAlignment="1">
      <alignment horizontal="center"/>
    </xf>
    <xf numFmtId="0" fontId="90" fillId="0" borderId="36" xfId="0" applyFont="1" applyBorder="1" applyAlignment="1">
      <alignment horizontal="center"/>
    </xf>
    <xf numFmtId="0" fontId="89" fillId="0" borderId="12" xfId="0" applyFont="1" applyBorder="1" applyAlignment="1" applyProtection="1">
      <alignment horizontal="center"/>
      <protection locked="0"/>
    </xf>
    <xf numFmtId="0" fontId="88" fillId="10" borderId="12" xfId="0" applyFont="1" applyFill="1" applyBorder="1" applyAlignment="1" applyProtection="1">
      <alignment horizontal="center"/>
      <protection locked="0"/>
    </xf>
    <xf numFmtId="165" fontId="86" fillId="0" borderId="12" xfId="0" applyNumberFormat="1" applyFont="1" applyBorder="1" applyAlignment="1" applyProtection="1">
      <alignment horizontal="left"/>
      <protection locked="0"/>
    </xf>
    <xf numFmtId="0" fontId="86" fillId="20" borderId="26" xfId="0" applyFont="1" applyFill="1" applyBorder="1" applyAlignment="1" applyProtection="1">
      <alignment horizontal="left"/>
      <protection locked="0"/>
    </xf>
    <xf numFmtId="0" fontId="86" fillId="20" borderId="35" xfId="0" applyFont="1" applyFill="1" applyBorder="1" applyAlignment="1" applyProtection="1">
      <alignment horizontal="left"/>
      <protection locked="0"/>
    </xf>
    <xf numFmtId="0" fontId="81" fillId="20" borderId="36" xfId="0" applyFont="1" applyFill="1" applyBorder="1" applyAlignment="1" applyProtection="1">
      <alignment horizontal="left"/>
      <protection locked="0"/>
    </xf>
    <xf numFmtId="0" fontId="81" fillId="0" borderId="0" xfId="0" applyFont="1" applyProtection="1">
      <protection locked="0"/>
    </xf>
    <xf numFmtId="0" fontId="82" fillId="24" borderId="26" xfId="0" applyFont="1" applyFill="1" applyBorder="1" applyAlignment="1" applyProtection="1">
      <alignment horizontal="left" vertical="center" wrapText="1"/>
      <protection locked="0"/>
    </xf>
    <xf numFmtId="0" fontId="83" fillId="24" borderId="35" xfId="0" applyFont="1" applyFill="1" applyBorder="1" applyAlignment="1" applyProtection="1">
      <alignment horizontal="left" vertical="center" wrapText="1"/>
      <protection locked="0"/>
    </xf>
    <xf numFmtId="0" fontId="83" fillId="24" borderId="36" xfId="0" applyFont="1" applyFill="1" applyBorder="1" applyAlignment="1" applyProtection="1">
      <alignment horizontal="left" vertical="center" wrapText="1"/>
      <protection locked="0"/>
    </xf>
    <xf numFmtId="0" fontId="84" fillId="0" borderId="26" xfId="0" applyFont="1" applyBorder="1" applyAlignment="1" applyProtection="1">
      <alignment vertical="center"/>
      <protection locked="0"/>
    </xf>
    <xf numFmtId="0" fontId="84" fillId="0" borderId="35" xfId="0" applyFont="1" applyBorder="1" applyAlignment="1" applyProtection="1">
      <alignment vertical="center"/>
      <protection locked="0"/>
    </xf>
    <xf numFmtId="0" fontId="84" fillId="0" borderId="36" xfId="0" applyFont="1" applyBorder="1" applyAlignment="1" applyProtection="1">
      <alignment vertical="center"/>
      <protection locked="0"/>
    </xf>
    <xf numFmtId="0" fontId="85" fillId="0" borderId="12" xfId="0" applyFont="1" applyBorder="1" applyProtection="1">
      <protection locked="0"/>
    </xf>
    <xf numFmtId="0" fontId="84" fillId="0" borderId="12" xfId="0" applyFont="1" applyBorder="1" applyAlignment="1" applyProtection="1">
      <alignment vertical="center"/>
      <protection locked="0"/>
    </xf>
    <xf numFmtId="0" fontId="81" fillId="0" borderId="12" xfId="0" applyFont="1" applyBorder="1" applyProtection="1">
      <protection locked="0"/>
    </xf>
    <xf numFmtId="0" fontId="83" fillId="0" borderId="12" xfId="0" applyFont="1" applyBorder="1" applyAlignment="1" applyProtection="1">
      <alignment horizontal="left" vertical="center" wrapText="1"/>
      <protection locked="0"/>
    </xf>
    <xf numFmtId="0" fontId="81" fillId="0" borderId="12" xfId="0" applyFont="1" applyBorder="1" applyAlignment="1" applyProtection="1">
      <alignment horizontal="left" vertical="center" wrapText="1"/>
      <protection locked="0"/>
    </xf>
    <xf numFmtId="0" fontId="86" fillId="0" borderId="12" xfId="0" applyFont="1" applyBorder="1" applyProtection="1">
      <protection locked="0"/>
    </xf>
    <xf numFmtId="0" fontId="31" fillId="0" borderId="0" xfId="0" applyFont="1" applyAlignment="1" applyProtection="1">
      <alignment horizontal="center" vertical="center"/>
      <protection locked="0"/>
    </xf>
    <xf numFmtId="0" fontId="87" fillId="0" borderId="0" xfId="0" applyFont="1" applyAlignment="1" applyProtection="1">
      <alignment horizontal="center" vertical="center"/>
      <protection locked="0"/>
    </xf>
    <xf numFmtId="0" fontId="83" fillId="0" borderId="12" xfId="0" applyFont="1" applyBorder="1" applyAlignment="1" applyProtection="1">
      <alignment horizontal="left" vertical="center"/>
      <protection locked="0"/>
    </xf>
    <xf numFmtId="0" fontId="86" fillId="0" borderId="12" xfId="0" applyFont="1" applyBorder="1" applyAlignment="1" applyProtection="1">
      <alignment horizontal="left"/>
      <protection locked="0"/>
    </xf>
    <xf numFmtId="0" fontId="86" fillId="0" borderId="26" xfId="0" applyFont="1" applyBorder="1" applyAlignment="1" applyProtection="1">
      <alignment horizontal="left"/>
      <protection locked="0"/>
    </xf>
    <xf numFmtId="0" fontId="86" fillId="0" borderId="35" xfId="0" applyFont="1" applyBorder="1" applyAlignment="1" applyProtection="1">
      <alignment horizontal="left"/>
      <protection locked="0"/>
    </xf>
    <xf numFmtId="0" fontId="86" fillId="0" borderId="36" xfId="0" applyFont="1" applyBorder="1" applyAlignment="1" applyProtection="1">
      <alignment horizontal="left"/>
      <protection locked="0"/>
    </xf>
    <xf numFmtId="0" fontId="88" fillId="0" borderId="0" xfId="0" applyFont="1" applyAlignment="1" applyProtection="1">
      <alignment horizontal="left" vertical="center"/>
      <protection locked="0"/>
    </xf>
    <xf numFmtId="0" fontId="39" fillId="0" borderId="19"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18" xfId="0" applyFont="1" applyBorder="1" applyAlignment="1" applyProtection="1">
      <alignment horizontal="center" vertical="center" wrapText="1" shrinkToFit="1"/>
      <protection locked="0"/>
    </xf>
    <xf numFmtId="0" fontId="39" fillId="0" borderId="22" xfId="0" applyFont="1" applyBorder="1" applyAlignment="1" applyProtection="1">
      <alignment horizontal="center" vertical="center"/>
      <protection locked="0"/>
    </xf>
    <xf numFmtId="0" fontId="39" fillId="0" borderId="38" xfId="0" applyFont="1" applyBorder="1" applyAlignment="1" applyProtection="1">
      <alignment horizontal="center" vertical="center"/>
      <protection locked="0"/>
    </xf>
    <xf numFmtId="0" fontId="39" fillId="0" borderId="21" xfId="0" applyFont="1" applyBorder="1" applyAlignment="1" applyProtection="1">
      <alignment horizontal="center" vertical="center" wrapText="1" shrinkToFit="1"/>
      <protection locked="0"/>
    </xf>
    <xf numFmtId="0" fontId="39" fillId="0" borderId="24" xfId="0" applyFont="1" applyBorder="1" applyAlignment="1" applyProtection="1">
      <alignment horizontal="center" vertical="center"/>
      <protection locked="0"/>
    </xf>
    <xf numFmtId="0" fontId="39" fillId="0" borderId="60" xfId="0" applyFont="1" applyBorder="1" applyAlignment="1" applyProtection="1">
      <alignment horizontal="center" vertical="center"/>
      <protection locked="0"/>
    </xf>
    <xf numFmtId="0" fontId="39" fillId="0" borderId="13" xfId="0" applyFont="1" applyBorder="1" applyAlignment="1" applyProtection="1">
      <alignment horizontal="center" vertical="center" wrapText="1" shrinkToFit="1"/>
      <protection locked="0"/>
    </xf>
    <xf numFmtId="0" fontId="39" fillId="0" borderId="32" xfId="0" applyFont="1" applyBorder="1" applyAlignment="1" applyProtection="1">
      <alignment horizontal="center" vertical="center" wrapText="1" shrinkToFit="1"/>
      <protection locked="0"/>
    </xf>
    <xf numFmtId="0" fontId="38" fillId="0" borderId="33" xfId="0" applyFont="1" applyBorder="1" applyAlignment="1" applyProtection="1">
      <alignment horizontal="left" vertical="center"/>
      <protection locked="0"/>
    </xf>
    <xf numFmtId="0" fontId="0" fillId="0" borderId="33" xfId="0" applyBorder="1" applyProtection="1">
      <protection locked="0"/>
    </xf>
    <xf numFmtId="0" fontId="0" fillId="0" borderId="34" xfId="0" applyBorder="1" applyProtection="1">
      <protection locked="0"/>
    </xf>
    <xf numFmtId="0" fontId="30" fillId="0" borderId="12" xfId="0" applyFont="1" applyBorder="1" applyAlignment="1" applyProtection="1">
      <alignment horizontal="left" vertical="center"/>
      <protection locked="0"/>
    </xf>
    <xf numFmtId="14" fontId="0" fillId="0" borderId="12" xfId="0" applyNumberFormat="1" applyBorder="1" applyAlignment="1">
      <alignment horizontal="left" vertical="center"/>
    </xf>
    <xf numFmtId="0" fontId="0" fillId="0" borderId="12" xfId="0" applyBorder="1" applyAlignment="1">
      <alignment horizontal="left" vertical="center"/>
    </xf>
    <xf numFmtId="0" fontId="30" fillId="2" borderId="49" xfId="0" applyFont="1" applyFill="1" applyBorder="1" applyAlignment="1" applyProtection="1">
      <alignment horizontal="center" vertical="center"/>
      <protection locked="0"/>
    </xf>
    <xf numFmtId="0" fontId="30" fillId="2" borderId="51" xfId="0" applyFont="1" applyFill="1" applyBorder="1" applyAlignment="1" applyProtection="1">
      <alignment horizontal="center" vertical="center"/>
      <protection locked="0"/>
    </xf>
    <xf numFmtId="0" fontId="30" fillId="2" borderId="49"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57" fillId="0" borderId="74" xfId="0" applyFont="1" applyBorder="1" applyAlignment="1" applyProtection="1">
      <alignment horizontal="center" vertical="center"/>
      <protection locked="0"/>
    </xf>
    <xf numFmtId="0" fontId="58" fillId="0" borderId="74" xfId="0" applyFont="1" applyBorder="1" applyAlignment="1">
      <alignment horizontal="center" vertical="center"/>
    </xf>
    <xf numFmtId="0" fontId="33" fillId="0" borderId="0" xfId="0" applyFont="1" applyAlignment="1" applyProtection="1">
      <alignment horizontal="center" vertical="center"/>
      <protection locked="0"/>
    </xf>
    <xf numFmtId="0" fontId="33" fillId="0" borderId="46" xfId="0" applyFont="1" applyBorder="1" applyAlignment="1" applyProtection="1">
      <alignment horizontal="center" vertical="center"/>
      <protection locked="0"/>
    </xf>
    <xf numFmtId="0" fontId="31" fillId="0" borderId="26" xfId="0" applyFont="1" applyBorder="1" applyAlignment="1">
      <alignment horizontal="lef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52" fillId="0" borderId="11" xfId="0" applyFont="1" applyBorder="1" applyAlignment="1" applyProtection="1">
      <alignment horizontal="left" vertical="center" wrapText="1"/>
      <protection locked="0"/>
    </xf>
    <xf numFmtId="0" fontId="53" fillId="0" borderId="0" xfId="0" applyFont="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0" fillId="0" borderId="27" xfId="0" applyBorder="1" applyProtection="1">
      <protection locked="0"/>
    </xf>
    <xf numFmtId="0" fontId="0" fillId="0" borderId="58" xfId="0" applyBorder="1" applyProtection="1">
      <protection locked="0"/>
    </xf>
    <xf numFmtId="0" fontId="45" fillId="0" borderId="12" xfId="0" applyFont="1" applyBorder="1" applyAlignment="1">
      <alignment horizontal="left" vertical="center"/>
    </xf>
    <xf numFmtId="0" fontId="45" fillId="0" borderId="12" xfId="0" applyFont="1" applyBorder="1" applyAlignment="1">
      <alignment vertical="center"/>
    </xf>
    <xf numFmtId="0" fontId="28" fillId="27" borderId="0" xfId="0" applyFont="1" applyFill="1" applyAlignment="1" applyProtection="1">
      <alignment horizontal="center" vertical="center"/>
      <protection locked="0"/>
    </xf>
    <xf numFmtId="0" fontId="28" fillId="27" borderId="46" xfId="0" applyFont="1" applyFill="1" applyBorder="1" applyAlignment="1" applyProtection="1">
      <alignment horizontal="center" vertical="center"/>
      <protection locked="0"/>
    </xf>
    <xf numFmtId="0" fontId="31" fillId="0" borderId="12" xfId="0" applyFont="1" applyBorder="1" applyAlignment="1">
      <alignment horizontal="left" vertical="center"/>
    </xf>
    <xf numFmtId="0" fontId="0" fillId="0" borderId="12" xfId="0" applyBorder="1" applyAlignment="1">
      <alignment vertical="center"/>
    </xf>
    <xf numFmtId="0" fontId="33" fillId="0" borderId="12" xfId="0" applyFont="1" applyBorder="1" applyAlignment="1" applyProtection="1">
      <alignment horizontal="center" vertical="center"/>
      <protection locked="0"/>
    </xf>
    <xf numFmtId="0" fontId="54" fillId="0" borderId="26" xfId="0" applyFont="1" applyBorder="1" applyAlignment="1" applyProtection="1">
      <alignment horizontal="center" vertical="center"/>
      <protection locked="0"/>
    </xf>
    <xf numFmtId="0" fontId="54" fillId="0" borderId="36"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33" fillId="0" borderId="36" xfId="0" applyFont="1" applyBorder="1" applyAlignment="1" applyProtection="1">
      <alignment horizontal="center" vertical="center"/>
      <protection locked="0"/>
    </xf>
    <xf numFmtId="0" fontId="31" fillId="0" borderId="26" xfId="0" applyFont="1" applyBorder="1" applyAlignment="1">
      <alignment horizontal="left" vertical="center"/>
    </xf>
    <xf numFmtId="0" fontId="31" fillId="0" borderId="35" xfId="0" applyFont="1" applyBorder="1" applyAlignment="1">
      <alignment horizontal="left" vertical="center"/>
    </xf>
    <xf numFmtId="0" fontId="31" fillId="0" borderId="36" xfId="0" applyFont="1" applyBorder="1" applyAlignment="1">
      <alignment horizontal="left" vertical="center"/>
    </xf>
    <xf numFmtId="0" fontId="28" fillId="31" borderId="0" xfId="0" applyFont="1" applyFill="1" applyAlignment="1" applyProtection="1">
      <alignment horizontal="center" vertical="center"/>
      <protection locked="0"/>
    </xf>
    <xf numFmtId="0" fontId="28" fillId="31" borderId="46" xfId="0" applyFont="1" applyFill="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9" fillId="0" borderId="24" xfId="0" applyFont="1" applyBorder="1" applyAlignment="1" applyProtection="1">
      <alignment horizontal="center" vertical="center" wrapText="1" shrinkToFit="1"/>
      <protection locked="0"/>
    </xf>
    <xf numFmtId="0" fontId="39" fillId="0" borderId="60" xfId="0" applyFont="1" applyBorder="1" applyAlignment="1" applyProtection="1">
      <alignment horizontal="center" vertical="center" wrapText="1" shrinkToFit="1"/>
      <protection locked="0"/>
    </xf>
    <xf numFmtId="0" fontId="39" fillId="0" borderId="19" xfId="0" applyFont="1" applyBorder="1" applyAlignment="1" applyProtection="1">
      <alignment horizontal="center" vertical="center" wrapText="1" shrinkToFit="1"/>
      <protection locked="0"/>
    </xf>
    <xf numFmtId="0" fontId="39" fillId="0" borderId="23" xfId="0" applyFont="1" applyBorder="1" applyAlignment="1" applyProtection="1">
      <alignment horizontal="center" vertical="center" wrapText="1" shrinkToFit="1"/>
      <protection locked="0"/>
    </xf>
    <xf numFmtId="0" fontId="30" fillId="2" borderId="53" xfId="0" applyFont="1" applyFill="1" applyBorder="1" applyAlignment="1" applyProtection="1">
      <alignment horizontal="center" vertical="center" wrapText="1"/>
      <protection locked="0"/>
    </xf>
    <xf numFmtId="0" fontId="30" fillId="2" borderId="54" xfId="0" applyFont="1" applyFill="1" applyBorder="1" applyAlignment="1" applyProtection="1">
      <alignment horizontal="center" vertical="center" wrapText="1"/>
      <protection locked="0"/>
    </xf>
    <xf numFmtId="0" fontId="58" fillId="0" borderId="71" xfId="0" applyFont="1" applyBorder="1" applyAlignment="1">
      <alignment horizontal="center" vertical="center"/>
    </xf>
    <xf numFmtId="0" fontId="0" fillId="0" borderId="72" xfId="0" applyBorder="1"/>
    <xf numFmtId="0" fontId="0" fillId="0" borderId="73" xfId="0" applyBorder="1"/>
    <xf numFmtId="0" fontId="61" fillId="0" borderId="71" xfId="0" applyFont="1" applyBorder="1" applyAlignment="1" applyProtection="1">
      <alignment horizontal="center" vertical="center"/>
      <protection locked="0"/>
    </xf>
    <xf numFmtId="0" fontId="61" fillId="0" borderId="72" xfId="0" applyFont="1" applyBorder="1" applyAlignment="1" applyProtection="1">
      <alignment horizontal="center" vertical="center"/>
      <protection locked="0"/>
    </xf>
    <xf numFmtId="0" fontId="61" fillId="0" borderId="73"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39" fillId="0" borderId="63" xfId="0" applyFont="1" applyBorder="1" applyAlignment="1" applyProtection="1">
      <alignment horizontal="center" vertical="center"/>
      <protection locked="0"/>
    </xf>
    <xf numFmtId="0" fontId="39" fillId="0" borderId="64" xfId="0" applyFont="1" applyBorder="1" applyAlignment="1" applyProtection="1">
      <alignment horizontal="center" vertical="center"/>
      <protection locked="0"/>
    </xf>
    <xf numFmtId="0" fontId="39" fillId="0" borderId="22" xfId="0" applyFont="1" applyBorder="1" applyAlignment="1" applyProtection="1">
      <alignment horizontal="center" vertical="center" wrapText="1" shrinkToFit="1"/>
      <protection locked="0"/>
    </xf>
    <xf numFmtId="0" fontId="39" fillId="0" borderId="38" xfId="0" applyFont="1" applyBorder="1" applyAlignment="1" applyProtection="1">
      <alignment horizontal="center" vertical="center" wrapText="1" shrinkToFit="1"/>
      <protection locked="0"/>
    </xf>
    <xf numFmtId="0" fontId="31" fillId="0" borderId="12" xfId="0" applyFont="1" applyBorder="1" applyAlignment="1">
      <alignment horizontal="left" vertical="center" shrinkToFit="1"/>
    </xf>
    <xf numFmtId="0" fontId="28" fillId="26" borderId="0" xfId="0" applyFont="1" applyFill="1" applyAlignment="1" applyProtection="1">
      <alignment horizontal="center" vertical="center"/>
      <protection locked="0"/>
    </xf>
    <xf numFmtId="0" fontId="28" fillId="26" borderId="46" xfId="0" applyFont="1" applyFill="1" applyBorder="1" applyAlignment="1" applyProtection="1">
      <alignment horizontal="center" vertical="center"/>
      <protection locked="0"/>
    </xf>
    <xf numFmtId="0" fontId="39" fillId="0" borderId="19" xfId="0" applyFont="1" applyBorder="1" applyAlignment="1" applyProtection="1">
      <alignment horizontal="center" vertical="center" shrinkToFit="1"/>
      <protection locked="0"/>
    </xf>
    <xf numFmtId="0" fontId="39" fillId="0" borderId="102" xfId="0" applyFont="1" applyBorder="1" applyAlignment="1" applyProtection="1">
      <alignment horizontal="center" vertical="center" shrinkToFit="1"/>
      <protection locked="0"/>
    </xf>
    <xf numFmtId="0" fontId="58" fillId="0" borderId="72" xfId="0" applyFont="1" applyBorder="1" applyAlignment="1">
      <alignment horizontal="center" vertical="center"/>
    </xf>
    <xf numFmtId="0" fontId="58" fillId="0" borderId="73" xfId="0" applyFont="1" applyBorder="1" applyAlignment="1">
      <alignment horizontal="center" vertical="center"/>
    </xf>
    <xf numFmtId="0" fontId="30" fillId="2" borderId="100"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shrinkToFit="1"/>
      <protection locked="0"/>
    </xf>
    <xf numFmtId="0" fontId="39" fillId="0" borderId="101" xfId="0" applyFont="1" applyBorder="1" applyAlignment="1" applyProtection="1">
      <alignment horizontal="center" vertical="center" shrinkToFit="1"/>
      <protection locked="0"/>
    </xf>
    <xf numFmtId="0" fontId="39" fillId="0" borderId="22" xfId="0" applyFont="1" applyBorder="1" applyAlignment="1" applyProtection="1">
      <alignment horizontal="center" vertical="center" shrinkToFit="1"/>
      <protection locked="0"/>
    </xf>
    <xf numFmtId="0" fontId="39" fillId="0" borderId="103" xfId="0" applyFont="1" applyBorder="1" applyAlignment="1" applyProtection="1">
      <alignment horizontal="center" vertical="center" shrinkToFit="1"/>
      <protection locked="0"/>
    </xf>
    <xf numFmtId="0" fontId="106" fillId="0" borderId="22" xfId="0" applyFont="1" applyBorder="1" applyAlignment="1" applyProtection="1">
      <alignment horizontal="center" vertical="center"/>
      <protection locked="0"/>
    </xf>
    <xf numFmtId="0" fontId="106" fillId="0" borderId="38" xfId="0" applyFont="1" applyBorder="1" applyAlignment="1" applyProtection="1">
      <alignment horizontal="center" vertical="center"/>
      <protection locked="0"/>
    </xf>
    <xf numFmtId="0" fontId="106" fillId="0" borderId="22" xfId="0" applyFont="1" applyBorder="1" applyAlignment="1" applyProtection="1">
      <alignment horizontal="center" vertical="center" wrapText="1" shrinkToFit="1"/>
      <protection locked="0"/>
    </xf>
    <xf numFmtId="0" fontId="106" fillId="0" borderId="38" xfId="0" applyFont="1" applyBorder="1" applyAlignment="1" applyProtection="1">
      <alignment horizontal="center" vertical="center" wrapText="1" shrinkToFit="1"/>
      <protection locked="0"/>
    </xf>
    <xf numFmtId="0" fontId="106" fillId="0" borderId="19" xfId="0" applyFont="1" applyBorder="1" applyAlignment="1" applyProtection="1">
      <alignment horizontal="center" vertical="center"/>
      <protection locked="0"/>
    </xf>
    <xf numFmtId="0" fontId="106" fillId="0" borderId="23" xfId="0" applyFont="1" applyBorder="1" applyAlignment="1" applyProtection="1">
      <alignment horizontal="center" vertical="center"/>
      <protection locked="0"/>
    </xf>
    <xf numFmtId="0" fontId="106" fillId="0" borderId="19" xfId="0" applyFont="1" applyBorder="1" applyAlignment="1" applyProtection="1">
      <alignment horizontal="center" vertical="center" wrapText="1" shrinkToFit="1"/>
      <protection locked="0"/>
    </xf>
    <xf numFmtId="0" fontId="106" fillId="0" borderId="23" xfId="0" applyFont="1" applyBorder="1" applyAlignment="1" applyProtection="1">
      <alignment horizontal="center" vertical="center" wrapText="1" shrinkToFit="1"/>
      <protection locked="0"/>
    </xf>
    <xf numFmtId="0" fontId="95" fillId="2" borderId="49" xfId="0" applyFont="1" applyFill="1" applyBorder="1" applyAlignment="1" applyProtection="1">
      <alignment horizontal="center" vertical="center"/>
      <protection locked="0"/>
    </xf>
    <xf numFmtId="0" fontId="95" fillId="2" borderId="51" xfId="0" applyFont="1" applyFill="1" applyBorder="1" applyAlignment="1" applyProtection="1">
      <alignment horizontal="center" vertical="center"/>
      <protection locked="0"/>
    </xf>
    <xf numFmtId="0" fontId="95" fillId="2" borderId="53" xfId="0" applyFont="1" applyFill="1" applyBorder="1" applyAlignment="1" applyProtection="1">
      <alignment horizontal="center" vertical="center" wrapText="1"/>
      <protection locked="0"/>
    </xf>
    <xf numFmtId="0" fontId="95" fillId="2" borderId="54" xfId="0" applyFont="1" applyFill="1" applyBorder="1" applyAlignment="1" applyProtection="1">
      <alignment horizontal="center" vertical="center" wrapText="1"/>
      <protection locked="0"/>
    </xf>
    <xf numFmtId="0" fontId="106" fillId="0" borderId="24" xfId="0" applyFont="1" applyBorder="1" applyAlignment="1" applyProtection="1">
      <alignment horizontal="center" vertical="center"/>
      <protection locked="0"/>
    </xf>
    <xf numFmtId="0" fontId="106" fillId="0" borderId="60" xfId="0" applyFont="1" applyBorder="1" applyAlignment="1" applyProtection="1">
      <alignment horizontal="center" vertical="center"/>
      <protection locked="0"/>
    </xf>
    <xf numFmtId="0" fontId="106" fillId="0" borderId="24" xfId="0" applyFont="1" applyBorder="1" applyAlignment="1" applyProtection="1">
      <alignment horizontal="center" vertical="center" wrapText="1" shrinkToFit="1"/>
      <protection locked="0"/>
    </xf>
    <xf numFmtId="0" fontId="106" fillId="0" borderId="60" xfId="0" applyFont="1" applyBorder="1" applyAlignment="1" applyProtection="1">
      <alignment horizontal="center" vertical="center" wrapText="1" shrinkToFit="1"/>
      <protection locked="0"/>
    </xf>
    <xf numFmtId="0" fontId="100" fillId="0" borderId="47" xfId="0" applyFont="1" applyBorder="1" applyAlignment="1" applyProtection="1">
      <alignment horizontal="center" vertical="center"/>
      <protection locked="0"/>
    </xf>
    <xf numFmtId="0" fontId="100" fillId="0" borderId="33" xfId="0" applyFont="1" applyBorder="1" applyAlignment="1" applyProtection="1">
      <alignment horizontal="center" vertical="center"/>
      <protection locked="0"/>
    </xf>
    <xf numFmtId="0" fontId="100" fillId="0" borderId="34" xfId="0" applyFont="1" applyBorder="1" applyAlignment="1" applyProtection="1">
      <alignment horizontal="center" vertical="center"/>
      <protection locked="0"/>
    </xf>
    <xf numFmtId="0" fontId="95" fillId="0" borderId="12" xfId="0" applyFont="1" applyBorder="1" applyAlignment="1" applyProtection="1">
      <alignment horizontal="left" vertical="center"/>
      <protection locked="0"/>
    </xf>
    <xf numFmtId="0" fontId="99" fillId="0" borderId="12" xfId="0" applyFont="1" applyBorder="1" applyAlignment="1">
      <alignment horizontal="left" vertical="center" shrinkToFit="1"/>
    </xf>
    <xf numFmtId="0" fontId="93" fillId="0" borderId="12" xfId="0" applyFont="1" applyBorder="1" applyAlignment="1">
      <alignment vertical="center" shrinkToFit="1"/>
    </xf>
    <xf numFmtId="0" fontId="104" fillId="0" borderId="74" xfId="0" applyFont="1" applyBorder="1" applyAlignment="1" applyProtection="1">
      <alignment horizontal="center" vertical="center"/>
      <protection locked="0"/>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5" fillId="0" borderId="73" xfId="0" applyFont="1" applyBorder="1" applyAlignment="1">
      <alignment horizontal="center" vertical="center"/>
    </xf>
    <xf numFmtId="14" fontId="57" fillId="0" borderId="12" xfId="0" applyNumberFormat="1"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97" fillId="0" borderId="78" xfId="0" applyFont="1" applyBorder="1" applyAlignment="1" applyProtection="1">
      <alignment horizontal="center" vertical="center"/>
      <protection locked="0"/>
    </xf>
    <xf numFmtId="0" fontId="97" fillId="0" borderId="116" xfId="0" applyFont="1" applyBorder="1" applyAlignment="1" applyProtection="1">
      <alignment horizontal="center" vertical="center"/>
      <protection locked="0"/>
    </xf>
    <xf numFmtId="0" fontId="92" fillId="0" borderId="59" xfId="0" applyFont="1" applyBorder="1" applyAlignment="1" applyProtection="1">
      <alignment horizontal="center" vertical="center"/>
      <protection locked="0"/>
    </xf>
    <xf numFmtId="0" fontId="92" fillId="0" borderId="27" xfId="0" applyFont="1" applyBorder="1" applyAlignment="1" applyProtection="1">
      <alignment horizontal="center" vertical="center"/>
      <protection locked="0"/>
    </xf>
    <xf numFmtId="0" fontId="92" fillId="0" borderId="11" xfId="0" applyFont="1" applyBorder="1" applyAlignment="1" applyProtection="1">
      <alignment horizontal="center" vertical="center"/>
      <protection locked="0"/>
    </xf>
    <xf numFmtId="0" fontId="92" fillId="0" borderId="0" xfId="0" applyFont="1" applyAlignment="1" applyProtection="1">
      <alignment horizontal="center" vertical="center"/>
      <protection locked="0"/>
    </xf>
    <xf numFmtId="0" fontId="92" fillId="0" borderId="47" xfId="0" applyFont="1" applyBorder="1" applyAlignment="1" applyProtection="1">
      <alignment horizontal="center" vertical="center"/>
      <protection locked="0"/>
    </xf>
    <xf numFmtId="0" fontId="92" fillId="0" borderId="33" xfId="0" applyFont="1" applyBorder="1" applyAlignment="1" applyProtection="1">
      <alignment horizontal="center" vertical="center"/>
      <protection locked="0"/>
    </xf>
    <xf numFmtId="0" fontId="93" fillId="0" borderId="59" xfId="0" applyFont="1" applyBorder="1" applyAlignment="1" applyProtection="1">
      <alignment horizontal="center"/>
      <protection locked="0"/>
    </xf>
    <xf numFmtId="0" fontId="93" fillId="0" borderId="27" xfId="0" applyFont="1" applyBorder="1" applyAlignment="1" applyProtection="1">
      <alignment horizontal="center"/>
      <protection locked="0"/>
    </xf>
    <xf numFmtId="0" fontId="93" fillId="0" borderId="58" xfId="0" applyFont="1" applyBorder="1" applyAlignment="1" applyProtection="1">
      <alignment horizontal="center"/>
      <protection locked="0"/>
    </xf>
    <xf numFmtId="0" fontId="94" fillId="0" borderId="12" xfId="0" applyFont="1" applyBorder="1" applyAlignment="1" applyProtection="1">
      <alignment horizontal="center" vertical="center"/>
      <protection locked="0"/>
    </xf>
    <xf numFmtId="0" fontId="100" fillId="0" borderId="12" xfId="0" applyFont="1" applyBorder="1" applyAlignment="1" applyProtection="1">
      <alignment horizontal="center" vertical="center"/>
      <protection locked="0"/>
    </xf>
    <xf numFmtId="0" fontId="98" fillId="0" borderId="11" xfId="0" applyFont="1" applyBorder="1" applyAlignment="1" applyProtection="1">
      <alignment horizontal="left" vertical="center" wrapText="1"/>
      <protection locked="0"/>
    </xf>
    <xf numFmtId="0" fontId="99" fillId="0" borderId="0" xfId="0" applyFont="1" applyAlignment="1" applyProtection="1">
      <alignment horizontal="center" vertical="center"/>
      <protection locked="0"/>
    </xf>
    <xf numFmtId="0" fontId="101" fillId="0" borderId="0" xfId="0" applyFont="1" applyAlignment="1" applyProtection="1">
      <alignment horizontal="center" vertical="center"/>
      <protection locked="0"/>
    </xf>
    <xf numFmtId="0" fontId="96" fillId="0" borderId="12" xfId="0" applyFont="1" applyBorder="1" applyAlignment="1">
      <alignment horizontal="left" vertical="center"/>
    </xf>
    <xf numFmtId="0" fontId="96" fillId="0" borderId="12" xfId="0" applyFont="1" applyBorder="1" applyAlignment="1">
      <alignment vertical="center"/>
    </xf>
    <xf numFmtId="0" fontId="92" fillId="29" borderId="11" xfId="0" applyFont="1" applyFill="1" applyBorder="1" applyAlignment="1" applyProtection="1">
      <alignment horizontal="center" vertical="center"/>
      <protection locked="0"/>
    </xf>
    <xf numFmtId="0" fontId="92" fillId="29" borderId="0" xfId="0" applyFont="1" applyFill="1" applyAlignment="1" applyProtection="1">
      <alignment horizontal="center" vertical="center"/>
      <protection locked="0"/>
    </xf>
    <xf numFmtId="0" fontId="92" fillId="29" borderId="46" xfId="0" applyFont="1" applyFill="1" applyBorder="1" applyAlignment="1" applyProtection="1">
      <alignment horizontal="center" vertical="center"/>
      <protection locked="0"/>
    </xf>
    <xf numFmtId="0" fontId="99" fillId="0" borderId="12" xfId="0" applyFont="1" applyBorder="1" applyAlignment="1">
      <alignment horizontal="left" vertical="center"/>
    </xf>
    <xf numFmtId="0" fontId="93" fillId="0" borderId="12" xfId="0" applyFont="1" applyBorder="1" applyAlignment="1">
      <alignment vertical="center"/>
    </xf>
    <xf numFmtId="0" fontId="102" fillId="0" borderId="33" xfId="0" applyFont="1" applyBorder="1" applyAlignment="1" applyProtection="1">
      <alignment horizontal="left" vertical="center"/>
      <protection locked="0"/>
    </xf>
    <xf numFmtId="0" fontId="93" fillId="0" borderId="33" xfId="0" applyFont="1" applyBorder="1" applyAlignment="1" applyProtection="1">
      <alignment vertical="center"/>
      <protection locked="0"/>
    </xf>
    <xf numFmtId="0" fontId="93" fillId="0" borderId="34" xfId="0" applyFont="1" applyBorder="1" applyAlignment="1" applyProtection="1">
      <alignment vertical="center"/>
      <protection locked="0"/>
    </xf>
    <xf numFmtId="14" fontId="93" fillId="0" borderId="12" xfId="0" applyNumberFormat="1" applyFont="1" applyBorder="1" applyAlignment="1">
      <alignment horizontal="left" vertical="center"/>
    </xf>
    <xf numFmtId="0" fontId="93" fillId="0" borderId="12" xfId="0" applyFont="1" applyBorder="1" applyAlignment="1">
      <alignment horizontal="left" vertical="center"/>
    </xf>
    <xf numFmtId="0" fontId="99" fillId="0" borderId="26" xfId="0" applyFont="1" applyBorder="1" applyAlignment="1">
      <alignment horizontal="left" vertical="center"/>
    </xf>
    <xf numFmtId="0" fontId="99" fillId="0" borderId="35" xfId="0" applyFont="1" applyBorder="1" applyAlignment="1">
      <alignment horizontal="left" vertical="center"/>
    </xf>
    <xf numFmtId="0" fontId="99" fillId="0" borderId="36" xfId="0" applyFont="1" applyBorder="1" applyAlignment="1">
      <alignment horizontal="left" vertical="center"/>
    </xf>
    <xf numFmtId="0" fontId="100" fillId="0" borderId="26" xfId="0" applyFont="1" applyBorder="1" applyAlignment="1" applyProtection="1">
      <alignment horizontal="center" vertical="center"/>
      <protection locked="0"/>
    </xf>
    <xf numFmtId="0" fontId="100" fillId="0" borderId="35" xfId="0" applyFont="1" applyBorder="1" applyAlignment="1" applyProtection="1">
      <alignment horizontal="center" vertical="center"/>
      <protection locked="0"/>
    </xf>
    <xf numFmtId="0" fontId="100" fillId="0" borderId="36" xfId="0" applyFont="1" applyBorder="1" applyAlignment="1" applyProtection="1">
      <alignment horizontal="center" vertical="center"/>
      <protection locked="0"/>
    </xf>
    <xf numFmtId="165" fontId="0" fillId="0" borderId="26" xfId="0" applyNumberFormat="1" applyBorder="1" applyAlignment="1">
      <alignment horizontal="left" vertical="center"/>
    </xf>
    <xf numFmtId="165" fontId="0" fillId="0" borderId="35" xfId="0" applyNumberFormat="1" applyBorder="1" applyAlignment="1">
      <alignment horizontal="left" vertical="center"/>
    </xf>
    <xf numFmtId="165" fontId="0" fillId="0" borderId="36" xfId="0" applyNumberFormat="1" applyBorder="1" applyAlignment="1">
      <alignment horizontal="left" vertical="center"/>
    </xf>
    <xf numFmtId="0" fontId="28" fillId="0" borderId="2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47" xfId="0" applyFont="1" applyBorder="1" applyAlignment="1" applyProtection="1">
      <alignment horizontal="center" vertical="center"/>
      <protection locked="0"/>
    </xf>
    <xf numFmtId="0" fontId="28" fillId="0" borderId="33" xfId="0" applyFont="1" applyBorder="1" applyAlignment="1" applyProtection="1">
      <alignment horizontal="center" vertical="center"/>
      <protection locked="0"/>
    </xf>
    <xf numFmtId="0" fontId="0" fillId="0" borderId="33" xfId="0" applyBorder="1" applyAlignment="1" applyProtection="1">
      <alignment horizontal="center"/>
      <protection locked="0"/>
    </xf>
    <xf numFmtId="0" fontId="45" fillId="0" borderId="26" xfId="0" applyFont="1" applyBorder="1" applyAlignment="1">
      <alignment horizontal="left" vertical="center"/>
    </xf>
    <xf numFmtId="0" fontId="45" fillId="0" borderId="35" xfId="0" applyFont="1" applyBorder="1" applyAlignment="1">
      <alignment horizontal="left" vertical="center"/>
    </xf>
    <xf numFmtId="0" fontId="45" fillId="0" borderId="36" xfId="0" applyFont="1" applyBorder="1" applyAlignment="1">
      <alignment horizontal="left" vertical="center"/>
    </xf>
    <xf numFmtId="0" fontId="28" fillId="30" borderId="0" xfId="0" applyFont="1" applyFill="1" applyAlignment="1" applyProtection="1">
      <alignment horizontal="center" vertical="center"/>
      <protection locked="0"/>
    </xf>
    <xf numFmtId="0" fontId="28" fillId="30" borderId="46" xfId="0" applyFont="1" applyFill="1" applyBorder="1" applyAlignment="1" applyProtection="1">
      <alignment horizontal="center" vertical="center"/>
      <protection locked="0"/>
    </xf>
    <xf numFmtId="0" fontId="31" fillId="0" borderId="35" xfId="0" applyFont="1" applyBorder="1" applyAlignment="1">
      <alignment horizontal="left" vertical="center" shrinkToFit="1"/>
    </xf>
    <xf numFmtId="0" fontId="31" fillId="0" borderId="36" xfId="0" applyFont="1" applyBorder="1" applyAlignment="1">
      <alignment horizontal="left" vertical="center" shrinkToFit="1"/>
    </xf>
    <xf numFmtId="0" fontId="28" fillId="34" borderId="0" xfId="0" applyFont="1" applyFill="1" applyAlignment="1" applyProtection="1">
      <alignment horizontal="center" vertical="center"/>
      <protection locked="0"/>
    </xf>
    <xf numFmtId="0" fontId="54" fillId="0" borderId="35" xfId="0" applyFont="1" applyBorder="1" applyAlignment="1" applyProtection="1">
      <alignment horizontal="center" vertical="center"/>
      <protection locked="0"/>
    </xf>
    <xf numFmtId="0" fontId="30" fillId="0" borderId="26" xfId="0" applyFont="1" applyBorder="1" applyAlignment="1" applyProtection="1">
      <alignment horizontal="left" vertical="center"/>
      <protection locked="0"/>
    </xf>
    <xf numFmtId="0" fontId="30" fillId="0" borderId="36" xfId="0" applyFont="1" applyBorder="1" applyAlignment="1" applyProtection="1">
      <alignment horizontal="left" vertical="center"/>
      <protection locked="0"/>
    </xf>
    <xf numFmtId="0" fontId="57" fillId="0" borderId="71" xfId="0" applyFont="1" applyBorder="1" applyAlignment="1" applyProtection="1">
      <alignment horizontal="center" vertical="center"/>
      <protection locked="0"/>
    </xf>
    <xf numFmtId="0" fontId="57" fillId="0" borderId="73" xfId="0" applyFont="1" applyBorder="1" applyAlignment="1" applyProtection="1">
      <alignment horizontal="center" vertical="center"/>
      <protection locked="0"/>
    </xf>
    <xf numFmtId="0" fontId="39" fillId="0" borderId="19" xfId="0" applyFont="1" applyBorder="1" applyAlignment="1" applyProtection="1">
      <alignment horizontal="center" vertical="center" wrapText="1"/>
      <protection locked="0"/>
    </xf>
    <xf numFmtId="0" fontId="39" fillId="0" borderId="102"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101" xfId="0" applyFont="1" applyBorder="1" applyAlignment="1" applyProtection="1">
      <alignment horizontal="center" vertical="center" wrapText="1"/>
      <protection locked="0"/>
    </xf>
    <xf numFmtId="0" fontId="39" fillId="0" borderId="22" xfId="0" applyFont="1" applyBorder="1" applyAlignment="1" applyProtection="1">
      <alignment horizontal="center" vertical="center" wrapText="1"/>
      <protection locked="0"/>
    </xf>
    <xf numFmtId="0" fontId="39" fillId="0" borderId="103" xfId="0" applyFont="1" applyBorder="1" applyAlignment="1" applyProtection="1">
      <alignment horizontal="center" vertical="center" wrapText="1"/>
      <protection locked="0"/>
    </xf>
    <xf numFmtId="14" fontId="0" fillId="0" borderId="26" xfId="0" applyNumberFormat="1" applyBorder="1" applyAlignment="1">
      <alignment horizontal="left" vertical="center"/>
    </xf>
    <xf numFmtId="14" fontId="0" fillId="0" borderId="35" xfId="0" applyNumberFormat="1" applyBorder="1" applyAlignment="1">
      <alignment horizontal="left" vertical="center"/>
    </xf>
    <xf numFmtId="14" fontId="0" fillId="0" borderId="36" xfId="0" applyNumberFormat="1" applyBorder="1" applyAlignment="1">
      <alignment horizontal="left" vertical="center"/>
    </xf>
    <xf numFmtId="0" fontId="57" fillId="0" borderId="72" xfId="0" applyFont="1" applyBorder="1" applyAlignment="1" applyProtection="1">
      <alignment horizontal="center" vertical="center"/>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31" fillId="0" borderId="36" xfId="0" applyFont="1" applyBorder="1" applyAlignment="1" applyProtection="1">
      <alignment horizontal="left" vertical="center"/>
      <protection locked="0"/>
    </xf>
    <xf numFmtId="14" fontId="0" fillId="0" borderId="26" xfId="0" applyNumberFormat="1" applyBorder="1" applyAlignment="1" applyProtection="1">
      <alignment horizontal="left" vertical="center"/>
      <protection locked="0"/>
    </xf>
    <xf numFmtId="14" fontId="0" fillId="0" borderId="35" xfId="0" applyNumberFormat="1" applyBorder="1" applyAlignment="1" applyProtection="1">
      <alignment horizontal="left" vertical="center"/>
      <protection locked="0"/>
    </xf>
    <xf numFmtId="14" fontId="0" fillId="0" borderId="36" xfId="0" applyNumberFormat="1" applyBorder="1" applyAlignment="1" applyProtection="1">
      <alignment horizontal="left" vertical="center"/>
      <protection locked="0"/>
    </xf>
    <xf numFmtId="0" fontId="45" fillId="0" borderId="26" xfId="0" applyFont="1" applyBorder="1" applyAlignment="1" applyProtection="1">
      <alignment horizontal="left" vertical="center"/>
      <protection locked="0"/>
    </xf>
    <xf numFmtId="0" fontId="45" fillId="0" borderId="35" xfId="0" applyFont="1" applyBorder="1" applyAlignment="1" applyProtection="1">
      <alignment horizontal="left" vertical="center"/>
      <protection locked="0"/>
    </xf>
    <xf numFmtId="0" fontId="45" fillId="0" borderId="36" xfId="0" applyFont="1" applyBorder="1" applyAlignment="1" applyProtection="1">
      <alignment horizontal="left" vertical="center"/>
      <protection locked="0"/>
    </xf>
    <xf numFmtId="0" fontId="28" fillId="51" borderId="12" xfId="0" applyFont="1" applyFill="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2" fillId="0" borderId="35"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39" fillId="0" borderId="45" xfId="0" applyFont="1" applyBorder="1" applyAlignment="1" applyProtection="1">
      <alignment horizontal="center" vertical="top" wrapText="1"/>
      <protection locked="0"/>
    </xf>
    <xf numFmtId="0" fontId="39" fillId="0" borderId="79" xfId="0" applyFont="1" applyBorder="1" applyAlignment="1" applyProtection="1">
      <alignment horizontal="center" vertical="top" wrapText="1"/>
      <protection locked="0"/>
    </xf>
    <xf numFmtId="0" fontId="52" fillId="34" borderId="90" xfId="0" applyFont="1" applyFill="1" applyBorder="1" applyAlignment="1" applyProtection="1">
      <alignment horizontal="center" vertical="center"/>
      <protection locked="0"/>
    </xf>
    <xf numFmtId="0" fontId="39" fillId="0" borderId="91" xfId="0" applyFont="1" applyBorder="1" applyAlignment="1" applyProtection="1">
      <alignment horizontal="center" vertical="center"/>
      <protection locked="0"/>
    </xf>
    <xf numFmtId="0" fontId="39" fillId="0" borderId="45" xfId="0" applyFont="1" applyBorder="1" applyAlignment="1" applyProtection="1">
      <alignment horizontal="center" vertical="center"/>
      <protection locked="0"/>
    </xf>
    <xf numFmtId="0" fontId="39" fillId="0" borderId="79" xfId="0" applyFont="1" applyBorder="1" applyAlignment="1" applyProtection="1">
      <alignment horizontal="center" vertical="center"/>
      <protection locked="0"/>
    </xf>
    <xf numFmtId="0" fontId="52" fillId="34" borderId="90" xfId="0" applyFont="1" applyFill="1" applyBorder="1" applyAlignment="1" applyProtection="1">
      <alignment horizontal="center" vertical="center" wrapText="1" shrinkToFit="1"/>
      <protection locked="0"/>
    </xf>
    <xf numFmtId="0" fontId="39" fillId="0" borderId="91" xfId="0" applyFont="1" applyBorder="1" applyAlignment="1" applyProtection="1">
      <alignment horizontal="center" vertical="top" wrapText="1"/>
      <protection locked="0"/>
    </xf>
    <xf numFmtId="0" fontId="39" fillId="0" borderId="97" xfId="0" applyFont="1" applyBorder="1" applyAlignment="1" applyProtection="1">
      <alignment horizontal="center" vertical="top" wrapText="1"/>
      <protection locked="0"/>
    </xf>
    <xf numFmtId="0" fontId="39" fillId="0" borderId="21" xfId="0" applyFont="1" applyBorder="1" applyAlignment="1" applyProtection="1">
      <alignment horizontal="center" vertical="top" wrapText="1"/>
      <protection locked="0"/>
    </xf>
    <xf numFmtId="0" fontId="39" fillId="0" borderId="30" xfId="0" applyFont="1" applyBorder="1" applyAlignment="1" applyProtection="1">
      <alignment horizontal="center" vertical="top" wrapText="1"/>
      <protection locked="0"/>
    </xf>
    <xf numFmtId="0" fontId="39" fillId="0" borderId="79" xfId="0" applyFont="1" applyBorder="1" applyAlignment="1" applyProtection="1">
      <alignment horizontal="center" vertical="center" wrapText="1"/>
      <protection locked="0"/>
    </xf>
    <xf numFmtId="0" fontId="39" fillId="0" borderId="45" xfId="0" applyFont="1" applyBorder="1" applyAlignment="1" applyProtection="1">
      <alignment horizontal="center" vertical="center" wrapText="1"/>
      <protection locked="0"/>
    </xf>
    <xf numFmtId="0" fontId="39" fillId="0" borderId="96" xfId="0" applyFont="1" applyBorder="1" applyAlignment="1" applyProtection="1">
      <alignment horizontal="center" vertical="top" wrapText="1"/>
      <protection locked="0"/>
    </xf>
    <xf numFmtId="0" fontId="39" fillId="0" borderId="18" xfId="0" applyFont="1" applyBorder="1" applyAlignment="1" applyProtection="1">
      <alignment horizontal="center" vertical="top" wrapText="1"/>
      <protection locked="0"/>
    </xf>
    <xf numFmtId="0" fontId="39" fillId="0" borderId="29" xfId="0" applyFont="1" applyBorder="1" applyAlignment="1" applyProtection="1">
      <alignment horizontal="center" vertical="top" wrapText="1"/>
      <protection locked="0"/>
    </xf>
    <xf numFmtId="0" fontId="52" fillId="39" borderId="90" xfId="0" applyFont="1" applyFill="1" applyBorder="1" applyAlignment="1" applyProtection="1">
      <alignment horizontal="center" vertical="center"/>
      <protection locked="0"/>
    </xf>
    <xf numFmtId="0" fontId="52" fillId="39" borderId="94" xfId="0" applyFont="1" applyFill="1" applyBorder="1" applyAlignment="1" applyProtection="1">
      <alignment horizontal="center" vertical="center"/>
      <protection locked="0"/>
    </xf>
    <xf numFmtId="0" fontId="39" fillId="0" borderId="95" xfId="0" applyFont="1" applyBorder="1" applyAlignment="1" applyProtection="1">
      <alignment horizontal="center" vertical="top" wrapText="1"/>
      <protection locked="0"/>
    </xf>
    <xf numFmtId="0" fontId="39" fillId="0" borderId="16" xfId="0" applyFont="1" applyBorder="1" applyAlignment="1" applyProtection="1">
      <alignment horizontal="center" vertical="top" wrapText="1"/>
      <protection locked="0"/>
    </xf>
    <xf numFmtId="0" fontId="39" fillId="0" borderId="28" xfId="0" applyFont="1" applyBorder="1" applyAlignment="1" applyProtection="1">
      <alignment horizontal="center" vertical="top" wrapText="1"/>
      <protection locked="0"/>
    </xf>
    <xf numFmtId="0" fontId="39" fillId="0" borderId="91" xfId="0" applyFont="1" applyBorder="1" applyAlignment="1" applyProtection="1">
      <alignment horizontal="center" vertical="center" wrapText="1"/>
      <protection locked="0"/>
    </xf>
    <xf numFmtId="0" fontId="52" fillId="40" borderId="85" xfId="0" applyFont="1" applyFill="1" applyBorder="1" applyAlignment="1" applyProtection="1">
      <alignment horizontal="center" vertical="center"/>
      <protection locked="0"/>
    </xf>
    <xf numFmtId="0" fontId="52" fillId="40" borderId="86" xfId="0" applyFont="1" applyFill="1" applyBorder="1" applyAlignment="1" applyProtection="1">
      <alignment horizontal="center" vertical="center"/>
      <protection locked="0"/>
    </xf>
    <xf numFmtId="0" fontId="52" fillId="40" borderId="87" xfId="0" applyFont="1" applyFill="1" applyBorder="1" applyAlignment="1" applyProtection="1">
      <alignment horizontal="center" vertical="center"/>
      <protection locked="0"/>
    </xf>
    <xf numFmtId="0" fontId="39" fillId="0" borderId="91" xfId="0"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locked="0"/>
    </xf>
    <xf numFmtId="0" fontId="39" fillId="0" borderId="79" xfId="0" applyFont="1" applyBorder="1" applyAlignment="1" applyProtection="1">
      <alignment horizontal="center" vertical="center" shrinkToFit="1"/>
      <protection locked="0"/>
    </xf>
    <xf numFmtId="0" fontId="52" fillId="34" borderId="90" xfId="0" applyFont="1" applyFill="1" applyBorder="1" applyAlignment="1" applyProtection="1">
      <alignment horizontal="center" vertical="center" wrapText="1"/>
      <protection locked="0"/>
    </xf>
    <xf numFmtId="0" fontId="30" fillId="35" borderId="81" xfId="0" applyFont="1" applyFill="1" applyBorder="1" applyAlignment="1" applyProtection="1">
      <alignment horizontal="center" vertical="center" wrapText="1" shrinkToFit="1"/>
      <protection locked="0"/>
    </xf>
    <xf numFmtId="0" fontId="30" fillId="35" borderId="82" xfId="0" applyFont="1" applyFill="1" applyBorder="1" applyAlignment="1" applyProtection="1">
      <alignment horizontal="center" vertical="center" wrapText="1" shrinkToFit="1"/>
      <protection locked="0"/>
    </xf>
    <xf numFmtId="0" fontId="30" fillId="37" borderId="49" xfId="0" applyFont="1" applyFill="1" applyBorder="1" applyAlignment="1" applyProtection="1">
      <alignment horizontal="center" vertical="center" wrapText="1"/>
      <protection locked="0"/>
    </xf>
    <xf numFmtId="0" fontId="30" fillId="37" borderId="51" xfId="0" applyFont="1" applyFill="1" applyBorder="1" applyAlignment="1" applyProtection="1">
      <alignment horizontal="center" vertical="center" wrapText="1"/>
      <protection locked="0"/>
    </xf>
    <xf numFmtId="0" fontId="57" fillId="0" borderId="26" xfId="0" applyFont="1" applyBorder="1" applyAlignment="1" applyProtection="1">
      <alignment horizontal="center" vertical="center"/>
      <protection locked="0"/>
    </xf>
    <xf numFmtId="0" fontId="57" fillId="0" borderId="35" xfId="0" applyFont="1" applyBorder="1" applyAlignment="1" applyProtection="1">
      <alignment horizontal="center" vertical="center"/>
      <protection locked="0"/>
    </xf>
    <xf numFmtId="0" fontId="30" fillId="38" borderId="83" xfId="0" applyFont="1" applyFill="1" applyBorder="1" applyAlignment="1" applyProtection="1">
      <alignment horizontal="center" vertical="center" wrapText="1"/>
      <protection locked="0"/>
    </xf>
    <xf numFmtId="0" fontId="30" fillId="38" borderId="65" xfId="0" applyFont="1" applyFill="1" applyBorder="1" applyAlignment="1" applyProtection="1">
      <alignment horizontal="center" vertical="center" wrapText="1"/>
      <protection locked="0"/>
    </xf>
    <xf numFmtId="0" fontId="30" fillId="38" borderId="84" xfId="0" applyFont="1" applyFill="1" applyBorder="1" applyAlignment="1" applyProtection="1">
      <alignment horizontal="center" vertical="center" wrapText="1"/>
      <protection locked="0"/>
    </xf>
    <xf numFmtId="0" fontId="39" fillId="0" borderId="68" xfId="0" applyFont="1" applyBorder="1" applyAlignment="1" applyProtection="1">
      <alignment horizontal="center" vertical="center"/>
      <protection locked="0"/>
    </xf>
    <xf numFmtId="0" fontId="32" fillId="0" borderId="104" xfId="0" applyFont="1" applyBorder="1" applyAlignment="1" applyProtection="1">
      <alignment horizontal="center" vertical="center" wrapText="1"/>
      <protection locked="0"/>
    </xf>
    <xf numFmtId="0" fontId="32" fillId="0" borderId="105" xfId="0" applyFont="1" applyBorder="1" applyAlignment="1" applyProtection="1">
      <alignment horizontal="center" vertical="center" wrapText="1"/>
      <protection locked="0"/>
    </xf>
    <xf numFmtId="0" fontId="32" fillId="0" borderId="106" xfId="0" applyFont="1" applyBorder="1" applyAlignment="1" applyProtection="1">
      <alignment horizontal="center" vertical="center" wrapText="1"/>
      <protection locked="0"/>
    </xf>
    <xf numFmtId="0" fontId="32" fillId="0" borderId="107"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08" xfId="0" applyFont="1" applyBorder="1" applyAlignment="1" applyProtection="1">
      <alignment horizontal="center" vertical="center" wrapText="1"/>
      <protection locked="0"/>
    </xf>
    <xf numFmtId="0" fontId="32" fillId="0" borderId="109" xfId="0" applyFont="1" applyBorder="1" applyAlignment="1" applyProtection="1">
      <alignment horizontal="center" vertical="center" wrapText="1"/>
      <protection locked="0"/>
    </xf>
    <xf numFmtId="0" fontId="32" fillId="0" borderId="78" xfId="0" applyFont="1" applyBorder="1" applyAlignment="1" applyProtection="1">
      <alignment horizontal="center" vertical="center" wrapText="1"/>
      <protection locked="0"/>
    </xf>
    <xf numFmtId="0" fontId="32" fillId="0" borderId="110" xfId="0" applyFont="1" applyBorder="1" applyAlignment="1" applyProtection="1">
      <alignment horizontal="center" vertical="center" wrapText="1"/>
      <protection locked="0"/>
    </xf>
    <xf numFmtId="0" fontId="52" fillId="40" borderId="90" xfId="0" applyFont="1" applyFill="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69" xfId="0" applyFont="1" applyBorder="1" applyAlignment="1" applyProtection="1">
      <alignment horizontal="center" vertical="center"/>
      <protection locked="0"/>
    </xf>
    <xf numFmtId="0" fontId="29" fillId="24" borderId="12" xfId="0" applyFont="1" applyFill="1" applyBorder="1" applyAlignment="1" applyProtection="1">
      <alignment horizontal="center" vertical="center" shrinkToFit="1"/>
      <protection locked="0"/>
    </xf>
    <xf numFmtId="0" fontId="29" fillId="34" borderId="12" xfId="0" applyFont="1" applyFill="1" applyBorder="1" applyAlignment="1" applyProtection="1">
      <alignment horizontal="center" vertical="center"/>
      <protection locked="0"/>
    </xf>
    <xf numFmtId="0" fontId="58" fillId="37" borderId="71" xfId="0" applyFont="1" applyFill="1" applyBorder="1" applyAlignment="1" applyProtection="1">
      <alignment horizontal="center" vertical="center"/>
      <protection locked="0"/>
    </xf>
    <xf numFmtId="0" fontId="58" fillId="37" borderId="72" xfId="0" applyFont="1" applyFill="1" applyBorder="1" applyAlignment="1" applyProtection="1">
      <alignment horizontal="center" vertical="center"/>
      <protection locked="0"/>
    </xf>
    <xf numFmtId="0" fontId="58" fillId="37" borderId="73" xfId="0" applyFont="1" applyFill="1" applyBorder="1" applyAlignment="1" applyProtection="1">
      <alignment horizontal="center" vertical="center"/>
      <protection locked="0"/>
    </xf>
    <xf numFmtId="0" fontId="58" fillId="0" borderId="26" xfId="0" applyFont="1" applyBorder="1" applyAlignment="1">
      <alignment horizontal="center" vertical="center"/>
    </xf>
    <xf numFmtId="0" fontId="58" fillId="0" borderId="35" xfId="0" applyFont="1" applyBorder="1" applyAlignment="1">
      <alignment horizontal="center" vertical="center"/>
    </xf>
    <xf numFmtId="0" fontId="58" fillId="0" borderId="27" xfId="0" applyFont="1" applyBorder="1" applyAlignment="1">
      <alignment horizontal="center" vertical="center"/>
    </xf>
    <xf numFmtId="0" fontId="58" fillId="0" borderId="58" xfId="0" applyFont="1" applyBorder="1" applyAlignment="1">
      <alignment horizontal="center" vertical="center"/>
    </xf>
    <xf numFmtId="0" fontId="62" fillId="0" borderId="0" xfId="0" applyFont="1" applyAlignment="1" applyProtection="1">
      <alignment horizontal="center" vertical="center"/>
      <protection locked="0"/>
    </xf>
    <xf numFmtId="0" fontId="52" fillId="0" borderId="0" xfId="0" applyFont="1" applyAlignment="1" applyProtection="1">
      <alignment horizontal="left" vertical="center" wrapText="1"/>
      <protection locked="0"/>
    </xf>
    <xf numFmtId="0" fontId="30" fillId="0" borderId="35" xfId="0" applyFont="1" applyBorder="1" applyAlignment="1" applyProtection="1">
      <alignment horizontal="left" vertical="center"/>
      <protection locked="0"/>
    </xf>
    <xf numFmtId="164" fontId="40" fillId="24" borderId="12" xfId="0" applyNumberFormat="1" applyFont="1" applyFill="1" applyBorder="1" applyAlignment="1">
      <alignment horizontal="center" vertical="center"/>
    </xf>
    <xf numFmtId="0" fontId="40" fillId="34" borderId="12" xfId="0" applyFont="1" applyFill="1" applyBorder="1" applyAlignment="1">
      <alignment horizontal="center" vertical="center"/>
    </xf>
    <xf numFmtId="0" fontId="28" fillId="32" borderId="0" xfId="0" applyFont="1" applyFill="1" applyAlignment="1" applyProtection="1">
      <alignment horizontal="center" vertical="center"/>
      <protection locked="0"/>
    </xf>
    <xf numFmtId="0" fontId="28" fillId="32" borderId="46" xfId="0" applyFont="1" applyFill="1" applyBorder="1" applyAlignment="1" applyProtection="1">
      <alignment horizontal="center" vertical="center"/>
      <protection locked="0"/>
    </xf>
    <xf numFmtId="0" fontId="61" fillId="0" borderId="26" xfId="0" applyFont="1" applyBorder="1" applyAlignment="1" applyProtection="1">
      <alignment horizontal="center" vertical="center"/>
      <protection locked="0"/>
    </xf>
    <xf numFmtId="0" fontId="61" fillId="0" borderId="35" xfId="0" applyFont="1" applyBorder="1" applyAlignment="1" applyProtection="1">
      <alignment horizontal="center" vertical="center"/>
      <protection locked="0"/>
    </xf>
    <xf numFmtId="0" fontId="61" fillId="0" borderId="36" xfId="0" applyFont="1" applyBorder="1" applyAlignment="1" applyProtection="1">
      <alignment horizontal="center" vertical="center"/>
      <protection locked="0"/>
    </xf>
    <xf numFmtId="0" fontId="39" fillId="0" borderId="60"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shrinkToFit="1"/>
      <protection locked="0"/>
    </xf>
    <xf numFmtId="0" fontId="54" fillId="0" borderId="12" xfId="0" applyFont="1" applyBorder="1" applyAlignment="1" applyProtection="1">
      <alignment horizontal="center" vertical="center"/>
      <protection locked="0"/>
    </xf>
    <xf numFmtId="0" fontId="24" fillId="0" borderId="36" xfId="0" applyFont="1" applyBorder="1" applyAlignment="1">
      <alignment horizontal="center" vertical="center"/>
    </xf>
    <xf numFmtId="0" fontId="30" fillId="36" borderId="49" xfId="0" applyFont="1" applyFill="1" applyBorder="1" applyAlignment="1" applyProtection="1">
      <alignment horizontal="center" vertical="center"/>
      <protection locked="0"/>
    </xf>
    <xf numFmtId="0" fontId="30" fillId="36" borderId="51" xfId="0" applyFont="1" applyFill="1" applyBorder="1" applyAlignment="1" applyProtection="1">
      <alignment horizontal="center" vertical="center"/>
      <protection locked="0"/>
    </xf>
    <xf numFmtId="0" fontId="30" fillId="38" borderId="81" xfId="0" applyFont="1" applyFill="1" applyBorder="1" applyAlignment="1" applyProtection="1">
      <alignment horizontal="center" vertical="center" wrapText="1"/>
      <protection locked="0"/>
    </xf>
    <xf numFmtId="0" fontId="39" fillId="0" borderId="44" xfId="0" applyFont="1" applyBorder="1" applyAlignment="1" applyProtection="1">
      <alignment horizontal="center" vertical="center"/>
      <protection locked="0"/>
    </xf>
    <xf numFmtId="0" fontId="39" fillId="0" borderId="98" xfId="0" applyFont="1" applyBorder="1" applyAlignment="1" applyProtection="1">
      <alignment horizontal="center" vertical="center"/>
      <protection locked="0"/>
    </xf>
    <xf numFmtId="0" fontId="39" fillId="0" borderId="38"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protection locked="0"/>
    </xf>
    <xf numFmtId="0" fontId="61" fillId="0" borderId="99"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39" fillId="0" borderId="44" xfId="0" applyFont="1" applyBorder="1" applyAlignment="1" applyProtection="1">
      <alignment horizontal="center" vertical="center" shrinkToFit="1"/>
      <protection locked="0"/>
    </xf>
    <xf numFmtId="0" fontId="20" fillId="27" borderId="0" xfId="0" applyFont="1" applyFill="1" applyAlignment="1">
      <alignment horizontal="center"/>
    </xf>
    <xf numFmtId="0" fontId="0" fillId="26" borderId="0" xfId="0" applyFill="1" applyAlignment="1">
      <alignment horizontal="center"/>
    </xf>
    <xf numFmtId="0" fontId="0" fillId="26" borderId="12" xfId="0" applyFill="1" applyBorder="1" applyAlignment="1">
      <alignment horizontal="center" wrapText="1"/>
    </xf>
    <xf numFmtId="0" fontId="52" fillId="43" borderId="61" xfId="0" applyFont="1" applyFill="1" applyBorder="1" applyAlignment="1" applyProtection="1">
      <alignment horizontal="center" vertical="center" wrapText="1"/>
      <protection locked="0"/>
    </xf>
    <xf numFmtId="0" fontId="52" fillId="43" borderId="62" xfId="0" applyFont="1" applyFill="1" applyBorder="1" applyAlignment="1" applyProtection="1">
      <alignment horizontal="center" vertical="center" wrapText="1"/>
      <protection locked="0"/>
    </xf>
    <xf numFmtId="0" fontId="52" fillId="43" borderId="26" xfId="0" applyFont="1" applyFill="1" applyBorder="1" applyAlignment="1" applyProtection="1">
      <alignment horizontal="center" vertical="center" wrapText="1"/>
      <protection locked="0"/>
    </xf>
    <xf numFmtId="0" fontId="52" fillId="43" borderId="35" xfId="0" applyFont="1" applyFill="1" applyBorder="1" applyAlignment="1" applyProtection="1">
      <alignment horizontal="center" vertical="center" wrapText="1"/>
      <protection locked="0"/>
    </xf>
    <xf numFmtId="0" fontId="52" fillId="43" borderId="36" xfId="0" applyFont="1" applyFill="1" applyBorder="1" applyAlignment="1" applyProtection="1">
      <alignment horizontal="center" vertical="center" wrapText="1"/>
      <protection locked="0"/>
    </xf>
    <xf numFmtId="0" fontId="52" fillId="43" borderId="12" xfId="0" applyFont="1" applyFill="1" applyBorder="1" applyAlignment="1" applyProtection="1">
      <alignment horizontal="center" vertical="center" wrapText="1"/>
      <protection locked="0"/>
    </xf>
    <xf numFmtId="0" fontId="52" fillId="43" borderId="59" xfId="0" applyFont="1" applyFill="1" applyBorder="1" applyAlignment="1" applyProtection="1">
      <alignment horizontal="center" vertical="center" wrapText="1"/>
      <protection locked="0"/>
    </xf>
    <xf numFmtId="0" fontId="52" fillId="43" borderId="47" xfId="0" applyFont="1" applyFill="1" applyBorder="1" applyAlignment="1" applyProtection="1">
      <alignment horizontal="center" vertical="center" wrapText="1"/>
      <protection locked="0"/>
    </xf>
    <xf numFmtId="0" fontId="46" fillId="25" borderId="12" xfId="0" applyFont="1" applyFill="1" applyBorder="1" applyAlignment="1" applyProtection="1">
      <alignment horizontal="center" vertical="center" wrapText="1"/>
      <protection locked="0"/>
    </xf>
    <xf numFmtId="0" fontId="23" fillId="0" borderId="12" xfId="0" applyFont="1" applyBorder="1" applyAlignment="1">
      <alignment horizontal="center" vertical="center"/>
    </xf>
    <xf numFmtId="0" fontId="46" fillId="25" borderId="12" xfId="0" applyFont="1" applyFill="1" applyBorder="1" applyAlignment="1" applyProtection="1">
      <alignment horizontal="center" vertical="center"/>
      <protection locked="0"/>
    </xf>
    <xf numFmtId="0" fontId="69" fillId="0" borderId="0" xfId="0" applyFont="1" applyAlignment="1" applyProtection="1">
      <alignment horizontal="center"/>
      <protection locked="0"/>
    </xf>
    <xf numFmtId="0" fontId="45" fillId="0" borderId="0" xfId="0" applyFont="1" applyAlignment="1" applyProtection="1">
      <alignment horizontal="center"/>
      <protection locked="0"/>
    </xf>
    <xf numFmtId="0" fontId="44" fillId="0" borderId="0" xfId="0" applyFont="1" applyAlignment="1" applyProtection="1">
      <alignment horizontal="right" vertical="center"/>
      <protection locked="0"/>
    </xf>
    <xf numFmtId="0" fontId="47" fillId="0" borderId="12" xfId="0" applyFont="1" applyBorder="1" applyAlignment="1">
      <alignment horizontal="left"/>
    </xf>
    <xf numFmtId="0" fontId="51" fillId="0" borderId="0" xfId="0" applyFont="1" applyAlignment="1" applyProtection="1">
      <alignment horizontal="center" vertical="center" wrapText="1"/>
      <protection locked="0"/>
    </xf>
    <xf numFmtId="14" fontId="47" fillId="0" borderId="12" xfId="0" applyNumberFormat="1" applyFont="1" applyBorder="1" applyAlignment="1">
      <alignment horizontal="left"/>
    </xf>
    <xf numFmtId="0" fontId="0" fillId="0" borderId="0" xfId="0" applyAlignment="1" applyProtection="1">
      <alignment horizontal="center"/>
      <protection locked="0"/>
    </xf>
    <xf numFmtId="0" fontId="52" fillId="40" borderId="12" xfId="0" applyFont="1" applyFill="1" applyBorder="1" applyAlignment="1" applyProtection="1">
      <alignment horizontal="center" vertical="center" wrapText="1"/>
      <protection locked="0"/>
    </xf>
    <xf numFmtId="0" fontId="55" fillId="40" borderId="12" xfId="0" applyFont="1" applyFill="1" applyBorder="1" applyAlignment="1" applyProtection="1">
      <alignment horizontal="center" vertical="center" wrapText="1"/>
      <protection locked="0"/>
    </xf>
    <xf numFmtId="0" fontId="52" fillId="40" borderId="61" xfId="0" applyFont="1" applyFill="1" applyBorder="1" applyAlignment="1" applyProtection="1">
      <alignment horizontal="center" vertical="center" wrapText="1"/>
      <protection locked="0"/>
    </xf>
    <xf numFmtId="0" fontId="52" fillId="40" borderId="62" xfId="0" applyFont="1" applyFill="1" applyBorder="1" applyAlignment="1" applyProtection="1">
      <alignment horizontal="center" vertical="center" wrapText="1"/>
      <protection locked="0"/>
    </xf>
    <xf numFmtId="0" fontId="52" fillId="40" borderId="59" xfId="0" applyFont="1" applyFill="1" applyBorder="1" applyAlignment="1" applyProtection="1">
      <alignment horizontal="center" vertical="center" wrapText="1"/>
      <protection locked="0"/>
    </xf>
    <xf numFmtId="0" fontId="52" fillId="40" borderId="47" xfId="0" applyFont="1" applyFill="1" applyBorder="1" applyAlignment="1" applyProtection="1">
      <alignment horizontal="center" vertical="center" wrapText="1"/>
      <protection locked="0"/>
    </xf>
    <xf numFmtId="0" fontId="73" fillId="0" borderId="0" xfId="0" applyFont="1" applyAlignment="1" applyProtection="1">
      <alignment horizontal="center"/>
      <protection locked="0"/>
    </xf>
    <xf numFmtId="0" fontId="106" fillId="0" borderId="25" xfId="0" applyFont="1" applyBorder="1" applyAlignment="1" applyProtection="1">
      <alignment horizontal="center" vertical="center" wrapText="1" shrinkToFit="1"/>
      <protection locked="0"/>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Hyperlink" xfId="34" builtinId="8"/>
    <cellStyle name="Input" xfId="35" xr:uid="{00000000-0005-0000-0000-000022000000}"/>
    <cellStyle name="Linked Cell" xfId="36" xr:uid="{00000000-0005-0000-0000-000023000000}"/>
    <cellStyle name="Neutral" xfId="37" xr:uid="{00000000-0005-0000-0000-000024000000}"/>
    <cellStyle name="Normal" xfId="0" builtinId="0"/>
    <cellStyle name="Normal 2" xfId="38" xr:uid="{00000000-0005-0000-0000-000026000000}"/>
    <cellStyle name="Note" xfId="39" xr:uid="{00000000-0005-0000-0000-000027000000}"/>
    <cellStyle name="Output" xfId="40" xr:uid="{00000000-0005-0000-0000-000028000000}"/>
    <cellStyle name="Title" xfId="41" xr:uid="{00000000-0005-0000-0000-000029000000}"/>
    <cellStyle name="Total" xfId="42" xr:uid="{00000000-0005-0000-0000-00002A000000}"/>
    <cellStyle name="Warning Text" xfId="43" xr:uid="{00000000-0005-0000-0000-00002B000000}"/>
  </cellStyles>
  <dxfs count="105">
    <dxf>
      <fill>
        <patternFill>
          <bgColor rgb="FFFF0000"/>
        </patternFill>
      </fill>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jpe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57150</xdr:rowOff>
    </xdr:from>
    <xdr:to>
      <xdr:col>7</xdr:col>
      <xdr:colOff>251668</xdr:colOff>
      <xdr:row>0</xdr:row>
      <xdr:rowOff>852768</xdr:rowOff>
    </xdr:to>
    <xdr:pic>
      <xdr:nvPicPr>
        <xdr:cNvPr id="4" name="Picture 3">
          <a:extLst>
            <a:ext uri="{FF2B5EF4-FFF2-40B4-BE49-F238E27FC236}">
              <a16:creationId xmlns:a16="http://schemas.microsoft.com/office/drawing/2014/main" id="{53377AF3-7E55-4FB4-80B9-1D42BF6AD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3325" y="57150"/>
          <a:ext cx="2966293" cy="7956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1019174</xdr:colOff>
      <xdr:row>10</xdr:row>
      <xdr:rowOff>133349</xdr:rowOff>
    </xdr:from>
    <xdr:to>
      <xdr:col>7</xdr:col>
      <xdr:colOff>123687</xdr:colOff>
      <xdr:row>23</xdr:row>
      <xdr:rowOff>57149</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9199" y="1752599"/>
          <a:ext cx="3533638" cy="2028825"/>
        </a:xfrm>
        <a:prstGeom prst="rect">
          <a:avLst/>
        </a:prstGeom>
        <a:noFill/>
        <a:ln w="1">
          <a:noFill/>
          <a:miter lim="800000"/>
          <a:headEnd/>
          <a:tailEnd type="none" w="med" len="med"/>
        </a:ln>
        <a:effectLst/>
      </xdr:spPr>
    </xdr:pic>
    <xdr:clientData/>
  </xdr:twoCellAnchor>
  <xdr:twoCellAnchor editAs="oneCell">
    <xdr:from>
      <xdr:col>0</xdr:col>
      <xdr:colOff>752475</xdr:colOff>
      <xdr:row>0</xdr:row>
      <xdr:rowOff>0</xdr:rowOff>
    </xdr:from>
    <xdr:to>
      <xdr:col>3</xdr:col>
      <xdr:colOff>19050</xdr:colOff>
      <xdr:row>2</xdr:row>
      <xdr:rowOff>94857</xdr:rowOff>
    </xdr:to>
    <xdr:pic>
      <xdr:nvPicPr>
        <xdr:cNvPr id="4" name="Picture 3">
          <a:extLst>
            <a:ext uri="{FF2B5EF4-FFF2-40B4-BE49-F238E27FC236}">
              <a16:creationId xmlns:a16="http://schemas.microsoft.com/office/drawing/2014/main" id="{E233CA68-624B-4BB5-B917-E393680CC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75" y="0"/>
          <a:ext cx="2200275" cy="5901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76201</xdr:colOff>
      <xdr:row>10</xdr:row>
      <xdr:rowOff>95251</xdr:rowOff>
    </xdr:from>
    <xdr:to>
      <xdr:col>7</xdr:col>
      <xdr:colOff>323851</xdr:colOff>
      <xdr:row>23</xdr:row>
      <xdr:rowOff>64733</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5401" y="1714501"/>
          <a:ext cx="3790950" cy="2074507"/>
        </a:xfrm>
        <a:prstGeom prst="rect">
          <a:avLst/>
        </a:prstGeom>
        <a:noFill/>
      </xdr:spPr>
    </xdr:pic>
    <xdr:clientData/>
  </xdr:twoCellAnchor>
  <xdr:twoCellAnchor editAs="oneCell">
    <xdr:from>
      <xdr:col>0</xdr:col>
      <xdr:colOff>819150</xdr:colOff>
      <xdr:row>0</xdr:row>
      <xdr:rowOff>19050</xdr:rowOff>
    </xdr:from>
    <xdr:to>
      <xdr:col>3</xdr:col>
      <xdr:colOff>28575</xdr:colOff>
      <xdr:row>2</xdr:row>
      <xdr:rowOff>113907</xdr:rowOff>
    </xdr:to>
    <xdr:pic>
      <xdr:nvPicPr>
        <xdr:cNvPr id="7" name="Picture 6">
          <a:extLst>
            <a:ext uri="{FF2B5EF4-FFF2-40B4-BE49-F238E27FC236}">
              <a16:creationId xmlns:a16="http://schemas.microsoft.com/office/drawing/2014/main" id="{4C966B65-3AE9-40F1-8694-1C4C41AC23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9150" y="19050"/>
          <a:ext cx="2200275" cy="5901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44823</xdr:rowOff>
    </xdr:from>
    <xdr:to>
      <xdr:col>4</xdr:col>
      <xdr:colOff>244449</xdr:colOff>
      <xdr:row>1</xdr:row>
      <xdr:rowOff>210751</xdr:rowOff>
    </xdr:to>
    <xdr:pic>
      <xdr:nvPicPr>
        <xdr:cNvPr id="3" name="Picture 1" descr="Pacific Logo.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44824" y="44823"/>
          <a:ext cx="3214007" cy="502104"/>
        </a:xfrm>
        <a:prstGeom prst="rect">
          <a:avLst/>
        </a:prstGeom>
        <a:noFill/>
        <a:ln w="9525">
          <a:noFill/>
          <a:miter lim="800000"/>
          <a:headEnd/>
          <a:tailEnd/>
        </a:ln>
      </xdr:spPr>
    </xdr:pic>
    <xdr:clientData/>
  </xdr:twoCellAnchor>
  <xdr:twoCellAnchor editAs="oneCell">
    <xdr:from>
      <xdr:col>6</xdr:col>
      <xdr:colOff>717179</xdr:colOff>
      <xdr:row>0</xdr:row>
      <xdr:rowOff>33617</xdr:rowOff>
    </xdr:from>
    <xdr:to>
      <xdr:col>7</xdr:col>
      <xdr:colOff>607852</xdr:colOff>
      <xdr:row>1</xdr:row>
      <xdr:rowOff>0</xdr:rowOff>
    </xdr:to>
    <xdr:pic>
      <xdr:nvPicPr>
        <xdr:cNvPr id="4" name="Picture 2" descr="D:\Shared\Deirdre\Logos\OPC logo.jp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09767" y="33617"/>
          <a:ext cx="719909" cy="30255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23942</xdr:colOff>
      <xdr:row>0</xdr:row>
      <xdr:rowOff>35133</xdr:rowOff>
    </xdr:from>
    <xdr:to>
      <xdr:col>7</xdr:col>
      <xdr:colOff>743851</xdr:colOff>
      <xdr:row>0</xdr:row>
      <xdr:rowOff>307731</xdr:rowOff>
    </xdr:to>
    <xdr:pic>
      <xdr:nvPicPr>
        <xdr:cNvPr id="3" name="Picture 2" descr="D:\Shared\Deirdre\Logos\OPC logo.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0230" y="35133"/>
          <a:ext cx="719909" cy="272598"/>
        </a:xfrm>
        <a:prstGeom prst="rect">
          <a:avLst/>
        </a:prstGeom>
        <a:noFill/>
        <a:ln w="9525">
          <a:noFill/>
          <a:miter lim="800000"/>
          <a:headEnd/>
          <a:tailEnd/>
        </a:ln>
      </xdr:spPr>
    </xdr:pic>
    <xdr:clientData/>
  </xdr:twoCellAnchor>
  <xdr:twoCellAnchor editAs="oneCell">
    <xdr:from>
      <xdr:col>0</xdr:col>
      <xdr:colOff>44823</xdr:colOff>
      <xdr:row>0</xdr:row>
      <xdr:rowOff>44824</xdr:rowOff>
    </xdr:from>
    <xdr:to>
      <xdr:col>3</xdr:col>
      <xdr:colOff>1297801</xdr:colOff>
      <xdr:row>1</xdr:row>
      <xdr:rowOff>210752</xdr:rowOff>
    </xdr:to>
    <xdr:pic>
      <xdr:nvPicPr>
        <xdr:cNvPr id="4" name="Picture 1" descr="Pacific Logo.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44823" y="44824"/>
          <a:ext cx="3214007" cy="50210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170090</xdr:colOff>
      <xdr:row>0</xdr:row>
      <xdr:rowOff>22679</xdr:rowOff>
    </xdr:from>
    <xdr:to>
      <xdr:col>7</xdr:col>
      <xdr:colOff>889999</xdr:colOff>
      <xdr:row>0</xdr:row>
      <xdr:rowOff>325238</xdr:rowOff>
    </xdr:to>
    <xdr:pic>
      <xdr:nvPicPr>
        <xdr:cNvPr id="3" name="Picture 2" descr="D:\Shared\Deirdre\Logos\OPC logo.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34554" y="22679"/>
          <a:ext cx="719909" cy="302559"/>
        </a:xfrm>
        <a:prstGeom prst="rect">
          <a:avLst/>
        </a:prstGeom>
        <a:noFill/>
        <a:ln w="9525">
          <a:noFill/>
          <a:miter lim="800000"/>
          <a:headEnd/>
          <a:tailEnd/>
        </a:ln>
      </xdr:spPr>
    </xdr:pic>
    <xdr:clientData/>
  </xdr:twoCellAnchor>
  <xdr:twoCellAnchor editAs="oneCell">
    <xdr:from>
      <xdr:col>0</xdr:col>
      <xdr:colOff>34018</xdr:colOff>
      <xdr:row>0</xdr:row>
      <xdr:rowOff>45357</xdr:rowOff>
    </xdr:from>
    <xdr:to>
      <xdr:col>4</xdr:col>
      <xdr:colOff>560614</xdr:colOff>
      <xdr:row>1</xdr:row>
      <xdr:rowOff>207282</xdr:rowOff>
    </xdr:to>
    <xdr:pic>
      <xdr:nvPicPr>
        <xdr:cNvPr id="4" name="Picture 1" descr="Pacific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34018" y="45357"/>
          <a:ext cx="3214007" cy="50210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614355</xdr:colOff>
      <xdr:row>0</xdr:row>
      <xdr:rowOff>35530</xdr:rowOff>
    </xdr:from>
    <xdr:to>
      <xdr:col>7</xdr:col>
      <xdr:colOff>505028</xdr:colOff>
      <xdr:row>0</xdr:row>
      <xdr:rowOff>314740</xdr:rowOff>
    </xdr:to>
    <xdr:pic>
      <xdr:nvPicPr>
        <xdr:cNvPr id="4" name="Picture 2" descr="D:\Shared\Deirdre\Logos\OPC logo.jp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28138" y="35530"/>
          <a:ext cx="718934" cy="279210"/>
        </a:xfrm>
        <a:prstGeom prst="rect">
          <a:avLst/>
        </a:prstGeom>
        <a:noFill/>
        <a:ln w="9525">
          <a:noFill/>
          <a:miter lim="800000"/>
          <a:headEnd/>
          <a:tailEnd/>
        </a:ln>
      </xdr:spPr>
    </xdr:pic>
    <xdr:clientData fLocksWithSheet="0"/>
  </xdr:twoCellAnchor>
  <xdr:twoCellAnchor editAs="oneCell">
    <xdr:from>
      <xdr:col>2</xdr:col>
      <xdr:colOff>212912</xdr:colOff>
      <xdr:row>0</xdr:row>
      <xdr:rowOff>56032</xdr:rowOff>
    </xdr:from>
    <xdr:to>
      <xdr:col>4</xdr:col>
      <xdr:colOff>425824</xdr:colOff>
      <xdr:row>2</xdr:row>
      <xdr:rowOff>185662</xdr:rowOff>
    </xdr:to>
    <xdr:pic>
      <xdr:nvPicPr>
        <xdr:cNvPr id="5" name="Picture 4">
          <a:extLst>
            <a:ext uri="{FF2B5EF4-FFF2-40B4-BE49-F238E27FC236}">
              <a16:creationId xmlns:a16="http://schemas.microsoft.com/office/drawing/2014/main" id="{79ED2902-8497-4D91-8B1C-D637D0C1F2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7618" y="56032"/>
          <a:ext cx="2655794" cy="7123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1850654</xdr:colOff>
      <xdr:row>0</xdr:row>
      <xdr:rowOff>24092</xdr:rowOff>
    </xdr:from>
    <xdr:to>
      <xdr:col>5</xdr:col>
      <xdr:colOff>503078</xdr:colOff>
      <xdr:row>0</xdr:row>
      <xdr:rowOff>323850</xdr:rowOff>
    </xdr:to>
    <xdr:pic>
      <xdr:nvPicPr>
        <xdr:cNvPr id="3" name="Picture 2" descr="D:\Shared\Deirdre\Logos\OPC logo.jp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03529" y="24092"/>
          <a:ext cx="719349" cy="299758"/>
        </a:xfrm>
        <a:prstGeom prst="rect">
          <a:avLst/>
        </a:prstGeom>
        <a:noFill/>
        <a:ln w="9525">
          <a:noFill/>
          <a:miter lim="800000"/>
          <a:headEnd/>
          <a:tailEnd/>
        </a:ln>
      </xdr:spPr>
    </xdr:pic>
    <xdr:clientData fLocksWithSheet="0"/>
  </xdr:twoCellAnchor>
  <xdr:twoCellAnchor editAs="oneCell">
    <xdr:from>
      <xdr:col>1</xdr:col>
      <xdr:colOff>168088</xdr:colOff>
      <xdr:row>0</xdr:row>
      <xdr:rowOff>56030</xdr:rowOff>
    </xdr:from>
    <xdr:to>
      <xdr:col>3</xdr:col>
      <xdr:colOff>1535207</xdr:colOff>
      <xdr:row>2</xdr:row>
      <xdr:rowOff>182654</xdr:rowOff>
    </xdr:to>
    <xdr:pic>
      <xdr:nvPicPr>
        <xdr:cNvPr id="4" name="Picture 3">
          <a:extLst>
            <a:ext uri="{FF2B5EF4-FFF2-40B4-BE49-F238E27FC236}">
              <a16:creationId xmlns:a16="http://schemas.microsoft.com/office/drawing/2014/main" id="{6D1D2C78-CCCF-46B2-97FF-D74B0D8552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1147" y="56030"/>
          <a:ext cx="2644589" cy="7093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595443</xdr:colOff>
      <xdr:row>0</xdr:row>
      <xdr:rowOff>23927</xdr:rowOff>
    </xdr:from>
    <xdr:to>
      <xdr:col>8</xdr:col>
      <xdr:colOff>486117</xdr:colOff>
      <xdr:row>0</xdr:row>
      <xdr:rowOff>296525</xdr:rowOff>
    </xdr:to>
    <xdr:pic>
      <xdr:nvPicPr>
        <xdr:cNvPr id="2" name="Picture 1" descr="D:\Shared\Deirdre\Logos\OPC logo.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71590" y="23927"/>
          <a:ext cx="719909" cy="272598"/>
        </a:xfrm>
        <a:prstGeom prst="rect">
          <a:avLst/>
        </a:prstGeom>
        <a:noFill/>
        <a:ln w="9525">
          <a:noFill/>
          <a:miter lim="800000"/>
          <a:headEnd/>
          <a:tailEnd/>
        </a:ln>
      </xdr:spPr>
    </xdr:pic>
    <xdr:clientData/>
  </xdr:twoCellAnchor>
  <xdr:twoCellAnchor editAs="oneCell">
    <xdr:from>
      <xdr:col>0</xdr:col>
      <xdr:colOff>44823</xdr:colOff>
      <xdr:row>0</xdr:row>
      <xdr:rowOff>44824</xdr:rowOff>
    </xdr:from>
    <xdr:to>
      <xdr:col>3</xdr:col>
      <xdr:colOff>1297801</xdr:colOff>
      <xdr:row>1</xdr:row>
      <xdr:rowOff>210752</xdr:rowOff>
    </xdr:to>
    <xdr:pic>
      <xdr:nvPicPr>
        <xdr:cNvPr id="3" name="Picture 1" descr="Pacific Logo.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44823" y="44824"/>
          <a:ext cx="3205603" cy="499303"/>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438561</xdr:colOff>
      <xdr:row>1</xdr:row>
      <xdr:rowOff>67236</xdr:rowOff>
    </xdr:from>
    <xdr:to>
      <xdr:col>4</xdr:col>
      <xdr:colOff>1444751</xdr:colOff>
      <xdr:row>2</xdr:row>
      <xdr:rowOff>201706</xdr:rowOff>
    </xdr:to>
    <xdr:pic>
      <xdr:nvPicPr>
        <xdr:cNvPr id="2" name="Picture 1" descr="D:\Shared\Deirdre\Logos\OPC logo.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33943" y="403412"/>
          <a:ext cx="1006190" cy="381000"/>
        </a:xfrm>
        <a:prstGeom prst="rect">
          <a:avLst/>
        </a:prstGeom>
        <a:noFill/>
        <a:ln w="9525">
          <a:noFill/>
          <a:miter lim="800000"/>
          <a:headEnd/>
          <a:tailEnd/>
        </a:ln>
      </xdr:spPr>
    </xdr:pic>
    <xdr:clientData fLocksWithSheet="0"/>
  </xdr:twoCellAnchor>
  <xdr:twoCellAnchor editAs="oneCell">
    <xdr:from>
      <xdr:col>0</xdr:col>
      <xdr:colOff>224119</xdr:colOff>
      <xdr:row>0</xdr:row>
      <xdr:rowOff>33618</xdr:rowOff>
    </xdr:from>
    <xdr:to>
      <xdr:col>3</xdr:col>
      <xdr:colOff>1229383</xdr:colOff>
      <xdr:row>2</xdr:row>
      <xdr:rowOff>246530</xdr:rowOff>
    </xdr:to>
    <xdr:pic>
      <xdr:nvPicPr>
        <xdr:cNvPr id="4" name="Picture 3">
          <a:extLst>
            <a:ext uri="{FF2B5EF4-FFF2-40B4-BE49-F238E27FC236}">
              <a16:creationId xmlns:a16="http://schemas.microsoft.com/office/drawing/2014/main" id="{6BCCEAE9-F304-41E4-8636-15A7701E5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19" y="33618"/>
          <a:ext cx="2966293" cy="7956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44824</xdr:colOff>
      <xdr:row>0</xdr:row>
      <xdr:rowOff>56029</xdr:rowOff>
    </xdr:from>
    <xdr:to>
      <xdr:col>4</xdr:col>
      <xdr:colOff>20331</xdr:colOff>
      <xdr:row>1</xdr:row>
      <xdr:rowOff>210751</xdr:rowOff>
    </xdr:to>
    <xdr:pic>
      <xdr:nvPicPr>
        <xdr:cNvPr id="3" name="Picture 1" descr="Pacific Logo.jpg">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44824" y="56029"/>
          <a:ext cx="3214007" cy="502104"/>
        </a:xfrm>
        <a:prstGeom prst="rect">
          <a:avLst/>
        </a:prstGeom>
        <a:noFill/>
        <a:ln w="9525">
          <a:noFill/>
          <a:miter lim="800000"/>
          <a:headEnd/>
          <a:tailEnd/>
        </a:ln>
      </xdr:spPr>
    </xdr:pic>
    <xdr:clientData/>
  </xdr:twoCellAnchor>
  <xdr:twoCellAnchor editAs="oneCell">
    <xdr:from>
      <xdr:col>8</xdr:col>
      <xdr:colOff>253485</xdr:colOff>
      <xdr:row>0</xdr:row>
      <xdr:rowOff>20479</xdr:rowOff>
    </xdr:from>
    <xdr:to>
      <xdr:col>9</xdr:col>
      <xdr:colOff>541808</xdr:colOff>
      <xdr:row>0</xdr:row>
      <xdr:rowOff>337279</xdr:rowOff>
    </xdr:to>
    <xdr:pic>
      <xdr:nvPicPr>
        <xdr:cNvPr id="5" name="Picture 4">
          <a:extLst>
            <a:ext uri="{FF2B5EF4-FFF2-40B4-BE49-F238E27FC236}">
              <a16:creationId xmlns:a16="http://schemas.microsoft.com/office/drawing/2014/main" id="{E0253F0B-483E-4021-9D20-570F61C4488D}"/>
            </a:ext>
          </a:extLst>
        </xdr:cNvPr>
        <xdr:cNvPicPr>
          <a:picLocks noChangeAspect="1"/>
        </xdr:cNvPicPr>
      </xdr:nvPicPr>
      <xdr:blipFill>
        <a:blip xmlns:r="http://schemas.openxmlformats.org/officeDocument/2006/relationships" r:embed="rId2"/>
        <a:stretch>
          <a:fillRect/>
        </a:stretch>
      </xdr:blipFill>
      <xdr:spPr>
        <a:xfrm>
          <a:off x="7104916" y="20479"/>
          <a:ext cx="918944" cy="316800"/>
        </a:xfrm>
        <a:prstGeom prst="rect">
          <a:avLst/>
        </a:prstGeom>
      </xdr:spPr>
    </xdr:pic>
    <xdr:clientData/>
  </xdr:twoCellAnchor>
  <xdr:twoCellAnchor editAs="oneCell">
    <xdr:from>
      <xdr:col>5</xdr:col>
      <xdr:colOff>203243</xdr:colOff>
      <xdr:row>0</xdr:row>
      <xdr:rowOff>18462</xdr:rowOff>
    </xdr:from>
    <xdr:to>
      <xdr:col>6</xdr:col>
      <xdr:colOff>329515</xdr:colOff>
      <xdr:row>0</xdr:row>
      <xdr:rowOff>333161</xdr:rowOff>
    </xdr:to>
    <xdr:pic>
      <xdr:nvPicPr>
        <xdr:cNvPr id="7" name="Picture 6">
          <a:extLst>
            <a:ext uri="{FF2B5EF4-FFF2-40B4-BE49-F238E27FC236}">
              <a16:creationId xmlns:a16="http://schemas.microsoft.com/office/drawing/2014/main" id="{DECB1B28-FAE8-4D61-82E4-8424003A175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83477" y="18462"/>
          <a:ext cx="715632" cy="314699"/>
        </a:xfrm>
        <a:prstGeom prst="rect">
          <a:avLst/>
        </a:prstGeom>
      </xdr:spPr>
    </xdr:pic>
    <xdr:clientData/>
  </xdr:twoCellAnchor>
  <xdr:twoCellAnchor editAs="oneCell">
    <xdr:from>
      <xdr:col>6</xdr:col>
      <xdr:colOff>1047364</xdr:colOff>
      <xdr:row>0</xdr:row>
      <xdr:rowOff>27277</xdr:rowOff>
    </xdr:from>
    <xdr:to>
      <xdr:col>7</xdr:col>
      <xdr:colOff>815214</xdr:colOff>
      <xdr:row>0</xdr:row>
      <xdr:rowOff>344077</xdr:rowOff>
    </xdr:to>
    <xdr:pic>
      <xdr:nvPicPr>
        <xdr:cNvPr id="9" name="Picture 8">
          <a:extLst>
            <a:ext uri="{FF2B5EF4-FFF2-40B4-BE49-F238E27FC236}">
              <a16:creationId xmlns:a16="http://schemas.microsoft.com/office/drawing/2014/main" id="{D3D70E34-CA06-40EC-AB8E-92056FA9A8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17658" y="27277"/>
          <a:ext cx="1045321" cy="31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hyperlink" Target="mailto:shutterorders@pacificwholesale.com.au" TargetMode="External"/><Relationship Id="rId2" Type="http://schemas.openxmlformats.org/officeDocument/2006/relationships/hyperlink" Target="mailto:shuttersales@pacificwholesale.com.au" TargetMode="External"/><Relationship Id="rId1" Type="http://schemas.openxmlformats.org/officeDocument/2006/relationships/hyperlink" Target="mailto:support@pacificwholesale.com.au" TargetMode="External"/><Relationship Id="rId6" Type="http://schemas.openxmlformats.org/officeDocument/2006/relationships/printerSettings" Target="../printerSettings/printerSettings11.bin"/><Relationship Id="rId5" Type="http://schemas.openxmlformats.org/officeDocument/2006/relationships/hyperlink" Target="mailto:service@pacificwholesale.com.au" TargetMode="External"/><Relationship Id="rId4" Type="http://schemas.openxmlformats.org/officeDocument/2006/relationships/hyperlink" Target="mailto:shutterorders@pacificwholesale.com.au"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D302"/>
  <sheetViews>
    <sheetView workbookViewId="0">
      <selection activeCell="B3" sqref="B3"/>
    </sheetView>
  </sheetViews>
  <sheetFormatPr defaultRowHeight="15"/>
  <cols>
    <col min="1" max="1" width="7.42578125" style="315" customWidth="1"/>
    <col min="2" max="2" width="44" style="106" customWidth="1"/>
    <col min="3" max="3" width="7.42578125" style="315" customWidth="1"/>
    <col min="4" max="4" width="81" style="106" customWidth="1"/>
    <col min="5" max="16384" width="9.140625" style="106"/>
  </cols>
  <sheetData>
    <row r="1" spans="1:4" ht="60" customHeight="1">
      <c r="A1" s="487" t="s">
        <v>1772</v>
      </c>
      <c r="B1" s="487"/>
      <c r="C1" s="487"/>
      <c r="D1" s="487"/>
    </row>
    <row r="2" spans="1:4" s="324" customFormat="1" ht="28.5" customHeight="1">
      <c r="A2" s="320" t="s">
        <v>1768</v>
      </c>
      <c r="B2" s="321" t="s">
        <v>1767</v>
      </c>
      <c r="C2" s="322" t="s">
        <v>1768</v>
      </c>
      <c r="D2" s="323" t="s">
        <v>1769</v>
      </c>
    </row>
    <row r="3" spans="1:4">
      <c r="A3" s="316">
        <v>1</v>
      </c>
      <c r="B3" s="317"/>
      <c r="C3" s="318">
        <v>1</v>
      </c>
      <c r="D3" s="319"/>
    </row>
    <row r="4" spans="1:4">
      <c r="A4" s="316">
        <v>2</v>
      </c>
      <c r="B4" s="317"/>
      <c r="C4" s="318">
        <v>2</v>
      </c>
      <c r="D4" s="319"/>
    </row>
    <row r="5" spans="1:4">
      <c r="A5" s="316">
        <v>3</v>
      </c>
      <c r="B5" s="317"/>
      <c r="C5" s="318">
        <v>3</v>
      </c>
      <c r="D5" s="319"/>
    </row>
    <row r="6" spans="1:4">
      <c r="A6" s="316">
        <v>4</v>
      </c>
      <c r="B6" s="317"/>
      <c r="C6" s="318">
        <v>4</v>
      </c>
      <c r="D6" s="319"/>
    </row>
    <row r="7" spans="1:4">
      <c r="A7" s="316">
        <v>5</v>
      </c>
      <c r="B7" s="317"/>
      <c r="C7" s="318">
        <v>5</v>
      </c>
      <c r="D7" s="319"/>
    </row>
    <row r="8" spans="1:4">
      <c r="A8" s="316">
        <v>6</v>
      </c>
      <c r="B8" s="317"/>
      <c r="C8" s="318">
        <v>6</v>
      </c>
      <c r="D8" s="319"/>
    </row>
    <row r="9" spans="1:4">
      <c r="A9" s="316">
        <v>7</v>
      </c>
      <c r="B9" s="317"/>
      <c r="C9" s="318">
        <v>7</v>
      </c>
      <c r="D9" s="319"/>
    </row>
    <row r="10" spans="1:4">
      <c r="A10" s="316">
        <v>8</v>
      </c>
      <c r="B10" s="317"/>
      <c r="C10" s="318">
        <v>8</v>
      </c>
      <c r="D10" s="319"/>
    </row>
    <row r="11" spans="1:4">
      <c r="A11" s="316">
        <v>9</v>
      </c>
      <c r="B11" s="317"/>
      <c r="C11" s="318">
        <v>9</v>
      </c>
      <c r="D11" s="319"/>
    </row>
    <row r="12" spans="1:4">
      <c r="A12" s="316">
        <v>10</v>
      </c>
      <c r="B12" s="317"/>
      <c r="C12" s="318">
        <v>10</v>
      </c>
      <c r="D12" s="319"/>
    </row>
    <row r="13" spans="1:4">
      <c r="A13" s="316">
        <v>11</v>
      </c>
      <c r="B13" s="317"/>
      <c r="C13" s="318">
        <v>11</v>
      </c>
      <c r="D13" s="319"/>
    </row>
    <row r="14" spans="1:4">
      <c r="A14" s="316">
        <v>12</v>
      </c>
      <c r="B14" s="317"/>
      <c r="C14" s="318">
        <v>12</v>
      </c>
      <c r="D14" s="319"/>
    </row>
    <row r="15" spans="1:4">
      <c r="A15" s="316">
        <v>13</v>
      </c>
      <c r="B15" s="317"/>
      <c r="C15" s="318">
        <v>13</v>
      </c>
      <c r="D15" s="319"/>
    </row>
    <row r="16" spans="1:4">
      <c r="A16" s="316">
        <v>14</v>
      </c>
      <c r="B16" s="317"/>
      <c r="C16" s="318">
        <v>14</v>
      </c>
      <c r="D16" s="319"/>
    </row>
    <row r="17" spans="1:4">
      <c r="A17" s="316">
        <v>15</v>
      </c>
      <c r="B17" s="317"/>
      <c r="C17" s="318">
        <v>15</v>
      </c>
      <c r="D17" s="319"/>
    </row>
    <row r="18" spans="1:4">
      <c r="A18" s="316">
        <v>16</v>
      </c>
      <c r="B18" s="317"/>
      <c r="C18" s="318">
        <v>16</v>
      </c>
      <c r="D18" s="319"/>
    </row>
    <row r="19" spans="1:4">
      <c r="A19" s="316">
        <v>17</v>
      </c>
      <c r="B19" s="317"/>
      <c r="C19" s="318">
        <v>17</v>
      </c>
      <c r="D19" s="319"/>
    </row>
    <row r="20" spans="1:4">
      <c r="A20" s="316">
        <v>18</v>
      </c>
      <c r="B20" s="317"/>
      <c r="C20" s="318">
        <v>18</v>
      </c>
      <c r="D20" s="319"/>
    </row>
    <row r="21" spans="1:4">
      <c r="A21" s="316">
        <v>19</v>
      </c>
      <c r="B21" s="317"/>
      <c r="C21" s="318">
        <v>19</v>
      </c>
      <c r="D21" s="319"/>
    </row>
    <row r="22" spans="1:4">
      <c r="A22" s="316">
        <v>20</v>
      </c>
      <c r="B22" s="317"/>
      <c r="C22" s="318">
        <v>20</v>
      </c>
      <c r="D22" s="319"/>
    </row>
    <row r="23" spans="1:4">
      <c r="A23" s="316">
        <v>21</v>
      </c>
      <c r="B23" s="317"/>
      <c r="C23" s="318">
        <v>21</v>
      </c>
      <c r="D23" s="319"/>
    </row>
    <row r="24" spans="1:4">
      <c r="A24" s="316">
        <v>22</v>
      </c>
      <c r="B24" s="317"/>
      <c r="C24" s="318">
        <v>22</v>
      </c>
      <c r="D24" s="319"/>
    </row>
    <row r="25" spans="1:4">
      <c r="A25" s="316">
        <v>23</v>
      </c>
      <c r="B25" s="317"/>
      <c r="C25" s="318">
        <v>23</v>
      </c>
      <c r="D25" s="319"/>
    </row>
    <row r="26" spans="1:4">
      <c r="A26" s="316">
        <v>24</v>
      </c>
      <c r="B26" s="317"/>
      <c r="C26" s="318">
        <v>24</v>
      </c>
      <c r="D26" s="319"/>
    </row>
    <row r="27" spans="1:4">
      <c r="A27" s="316">
        <v>25</v>
      </c>
      <c r="B27" s="317"/>
      <c r="C27" s="318">
        <v>25</v>
      </c>
      <c r="D27" s="319"/>
    </row>
    <row r="28" spans="1:4">
      <c r="A28" s="316">
        <v>26</v>
      </c>
      <c r="B28" s="317"/>
      <c r="C28" s="318">
        <v>26</v>
      </c>
      <c r="D28" s="319"/>
    </row>
    <row r="29" spans="1:4">
      <c r="A29" s="316">
        <v>27</v>
      </c>
      <c r="B29" s="317"/>
      <c r="C29" s="318">
        <v>27</v>
      </c>
      <c r="D29" s="319"/>
    </row>
    <row r="30" spans="1:4">
      <c r="A30" s="316">
        <v>28</v>
      </c>
      <c r="B30" s="317"/>
      <c r="C30" s="318">
        <v>28</v>
      </c>
      <c r="D30" s="319"/>
    </row>
    <row r="31" spans="1:4">
      <c r="A31" s="316">
        <v>29</v>
      </c>
      <c r="B31" s="317"/>
      <c r="C31" s="318">
        <v>29</v>
      </c>
      <c r="D31" s="319"/>
    </row>
    <row r="32" spans="1:4">
      <c r="A32" s="316">
        <v>30</v>
      </c>
      <c r="B32" s="317"/>
      <c r="C32" s="318">
        <v>30</v>
      </c>
      <c r="D32" s="319"/>
    </row>
    <row r="33" spans="1:4">
      <c r="A33" s="316">
        <v>31</v>
      </c>
      <c r="B33" s="317"/>
      <c r="C33" s="318">
        <v>31</v>
      </c>
      <c r="D33" s="319"/>
    </row>
    <row r="34" spans="1:4">
      <c r="A34" s="316">
        <v>32</v>
      </c>
      <c r="B34" s="317"/>
      <c r="C34" s="318">
        <v>32</v>
      </c>
      <c r="D34" s="319"/>
    </row>
    <row r="35" spans="1:4">
      <c r="A35" s="316">
        <v>33</v>
      </c>
      <c r="B35" s="317"/>
      <c r="C35" s="318">
        <v>33</v>
      </c>
      <c r="D35" s="319"/>
    </row>
    <row r="36" spans="1:4">
      <c r="A36" s="316">
        <v>34</v>
      </c>
      <c r="B36" s="317"/>
      <c r="C36" s="318">
        <v>34</v>
      </c>
      <c r="D36" s="319"/>
    </row>
    <row r="37" spans="1:4">
      <c r="A37" s="316">
        <v>35</v>
      </c>
      <c r="B37" s="317"/>
      <c r="C37" s="318">
        <v>35</v>
      </c>
      <c r="D37" s="319"/>
    </row>
    <row r="38" spans="1:4">
      <c r="A38" s="316">
        <v>36</v>
      </c>
      <c r="B38" s="317"/>
      <c r="C38" s="318">
        <v>36</v>
      </c>
      <c r="D38" s="319"/>
    </row>
    <row r="39" spans="1:4">
      <c r="A39" s="316">
        <v>37</v>
      </c>
      <c r="B39" s="317"/>
      <c r="C39" s="318">
        <v>37</v>
      </c>
      <c r="D39" s="319"/>
    </row>
    <row r="40" spans="1:4">
      <c r="A40" s="316">
        <v>38</v>
      </c>
      <c r="B40" s="317"/>
      <c r="C40" s="318">
        <v>38</v>
      </c>
      <c r="D40" s="319"/>
    </row>
    <row r="41" spans="1:4">
      <c r="A41" s="316">
        <v>39</v>
      </c>
      <c r="B41" s="317"/>
      <c r="C41" s="318">
        <v>39</v>
      </c>
      <c r="D41" s="319"/>
    </row>
    <row r="42" spans="1:4">
      <c r="A42" s="316">
        <v>40</v>
      </c>
      <c r="B42" s="317"/>
      <c r="C42" s="318">
        <v>40</v>
      </c>
      <c r="D42" s="319"/>
    </row>
    <row r="43" spans="1:4">
      <c r="A43" s="316">
        <v>41</v>
      </c>
      <c r="B43" s="317"/>
      <c r="C43" s="318">
        <v>41</v>
      </c>
      <c r="D43" s="319"/>
    </row>
    <row r="44" spans="1:4">
      <c r="A44" s="316">
        <v>42</v>
      </c>
      <c r="B44" s="317"/>
      <c r="C44" s="318">
        <v>42</v>
      </c>
      <c r="D44" s="319"/>
    </row>
    <row r="45" spans="1:4">
      <c r="A45" s="316">
        <v>43</v>
      </c>
      <c r="B45" s="317"/>
      <c r="C45" s="318">
        <v>43</v>
      </c>
      <c r="D45" s="319"/>
    </row>
    <row r="46" spans="1:4">
      <c r="A46" s="316">
        <v>44</v>
      </c>
      <c r="B46" s="317"/>
      <c r="C46" s="318">
        <v>44</v>
      </c>
      <c r="D46" s="319"/>
    </row>
    <row r="47" spans="1:4">
      <c r="A47" s="316">
        <v>45</v>
      </c>
      <c r="B47" s="317"/>
      <c r="C47" s="318">
        <v>45</v>
      </c>
      <c r="D47" s="319"/>
    </row>
    <row r="48" spans="1:4">
      <c r="A48" s="316">
        <v>46</v>
      </c>
      <c r="B48" s="317"/>
      <c r="C48" s="318">
        <v>46</v>
      </c>
      <c r="D48" s="319"/>
    </row>
    <row r="49" spans="1:4">
      <c r="A49" s="316">
        <v>47</v>
      </c>
      <c r="B49" s="317"/>
      <c r="C49" s="318">
        <v>47</v>
      </c>
      <c r="D49" s="319"/>
    </row>
    <row r="50" spans="1:4">
      <c r="A50" s="316">
        <v>48</v>
      </c>
      <c r="B50" s="317"/>
      <c r="C50" s="318">
        <v>48</v>
      </c>
      <c r="D50" s="319"/>
    </row>
    <row r="51" spans="1:4">
      <c r="A51" s="316">
        <v>49</v>
      </c>
      <c r="B51" s="317"/>
      <c r="C51" s="318">
        <v>49</v>
      </c>
      <c r="D51" s="319"/>
    </row>
    <row r="52" spans="1:4">
      <c r="A52" s="316">
        <v>50</v>
      </c>
      <c r="B52" s="317"/>
      <c r="C52" s="318">
        <v>50</v>
      </c>
      <c r="D52" s="319"/>
    </row>
    <row r="53" spans="1:4">
      <c r="A53" s="316">
        <v>51</v>
      </c>
      <c r="B53" s="317"/>
      <c r="C53" s="318">
        <v>51</v>
      </c>
      <c r="D53" s="319"/>
    </row>
    <row r="54" spans="1:4">
      <c r="A54" s="316">
        <v>52</v>
      </c>
      <c r="B54" s="317"/>
      <c r="C54" s="318">
        <v>52</v>
      </c>
      <c r="D54" s="319"/>
    </row>
    <row r="55" spans="1:4">
      <c r="A55" s="316">
        <v>53</v>
      </c>
      <c r="B55" s="317"/>
      <c r="C55" s="318">
        <v>53</v>
      </c>
      <c r="D55" s="319"/>
    </row>
    <row r="56" spans="1:4">
      <c r="A56" s="316">
        <v>54</v>
      </c>
      <c r="B56" s="317"/>
      <c r="C56" s="318">
        <v>54</v>
      </c>
      <c r="D56" s="319"/>
    </row>
    <row r="57" spans="1:4">
      <c r="A57" s="316">
        <v>55</v>
      </c>
      <c r="B57" s="317"/>
      <c r="C57" s="318">
        <v>55</v>
      </c>
      <c r="D57" s="319"/>
    </row>
    <row r="58" spans="1:4">
      <c r="A58" s="316">
        <v>56</v>
      </c>
      <c r="B58" s="317"/>
      <c r="C58" s="318">
        <v>56</v>
      </c>
      <c r="D58" s="319"/>
    </row>
    <row r="59" spans="1:4">
      <c r="A59" s="316">
        <v>57</v>
      </c>
      <c r="B59" s="317"/>
      <c r="C59" s="318">
        <v>57</v>
      </c>
      <c r="D59" s="319"/>
    </row>
    <row r="60" spans="1:4">
      <c r="A60" s="316">
        <v>58</v>
      </c>
      <c r="B60" s="317"/>
      <c r="C60" s="318">
        <v>58</v>
      </c>
      <c r="D60" s="319"/>
    </row>
    <row r="61" spans="1:4">
      <c r="A61" s="316">
        <v>59</v>
      </c>
      <c r="B61" s="317"/>
      <c r="C61" s="318">
        <v>59</v>
      </c>
      <c r="D61" s="319"/>
    </row>
    <row r="62" spans="1:4">
      <c r="A62" s="316">
        <v>60</v>
      </c>
      <c r="B62" s="317"/>
      <c r="C62" s="318">
        <v>60</v>
      </c>
      <c r="D62" s="319"/>
    </row>
    <row r="63" spans="1:4">
      <c r="A63" s="316">
        <v>61</v>
      </c>
      <c r="B63" s="317"/>
      <c r="C63" s="318">
        <v>61</v>
      </c>
      <c r="D63" s="319"/>
    </row>
    <row r="64" spans="1:4">
      <c r="A64" s="316">
        <v>62</v>
      </c>
      <c r="B64" s="317"/>
      <c r="C64" s="318">
        <v>62</v>
      </c>
      <c r="D64" s="319"/>
    </row>
    <row r="65" spans="1:4">
      <c r="A65" s="316">
        <v>63</v>
      </c>
      <c r="B65" s="317"/>
      <c r="C65" s="318">
        <v>63</v>
      </c>
      <c r="D65" s="319"/>
    </row>
    <row r="66" spans="1:4">
      <c r="A66" s="316">
        <v>64</v>
      </c>
      <c r="B66" s="317"/>
      <c r="C66" s="318">
        <v>64</v>
      </c>
      <c r="D66" s="319"/>
    </row>
    <row r="67" spans="1:4">
      <c r="A67" s="316">
        <v>65</v>
      </c>
      <c r="B67" s="317"/>
      <c r="C67" s="318">
        <v>65</v>
      </c>
      <c r="D67" s="319"/>
    </row>
    <row r="68" spans="1:4">
      <c r="A68" s="316">
        <v>66</v>
      </c>
      <c r="B68" s="317"/>
      <c r="C68" s="318">
        <v>66</v>
      </c>
      <c r="D68" s="319"/>
    </row>
    <row r="69" spans="1:4">
      <c r="A69" s="316">
        <v>67</v>
      </c>
      <c r="B69" s="317"/>
      <c r="C69" s="318">
        <v>67</v>
      </c>
      <c r="D69" s="319"/>
    </row>
    <row r="70" spans="1:4">
      <c r="A70" s="316">
        <v>68</v>
      </c>
      <c r="B70" s="317"/>
      <c r="C70" s="318">
        <v>68</v>
      </c>
      <c r="D70" s="319"/>
    </row>
    <row r="71" spans="1:4">
      <c r="A71" s="316">
        <v>69</v>
      </c>
      <c r="B71" s="317"/>
      <c r="C71" s="318">
        <v>69</v>
      </c>
      <c r="D71" s="319"/>
    </row>
    <row r="72" spans="1:4">
      <c r="A72" s="316">
        <v>70</v>
      </c>
      <c r="B72" s="317"/>
      <c r="C72" s="318">
        <v>70</v>
      </c>
      <c r="D72" s="319"/>
    </row>
    <row r="73" spans="1:4">
      <c r="A73" s="316">
        <v>71</v>
      </c>
      <c r="B73" s="317"/>
      <c r="C73" s="318">
        <v>71</v>
      </c>
      <c r="D73" s="319"/>
    </row>
    <row r="74" spans="1:4">
      <c r="A74" s="316">
        <v>72</v>
      </c>
      <c r="B74" s="317"/>
      <c r="C74" s="318">
        <v>72</v>
      </c>
      <c r="D74" s="319"/>
    </row>
    <row r="75" spans="1:4">
      <c r="A75" s="316">
        <v>73</v>
      </c>
      <c r="B75" s="317"/>
      <c r="C75" s="318">
        <v>73</v>
      </c>
      <c r="D75" s="319"/>
    </row>
    <row r="76" spans="1:4">
      <c r="A76" s="316">
        <v>74</v>
      </c>
      <c r="B76" s="317"/>
      <c r="C76" s="318">
        <v>74</v>
      </c>
      <c r="D76" s="319"/>
    </row>
    <row r="77" spans="1:4">
      <c r="A77" s="316">
        <v>75</v>
      </c>
      <c r="B77" s="317"/>
      <c r="C77" s="318">
        <v>75</v>
      </c>
      <c r="D77" s="319"/>
    </row>
    <row r="78" spans="1:4">
      <c r="A78" s="316">
        <v>76</v>
      </c>
      <c r="B78" s="317"/>
      <c r="C78" s="318">
        <v>76</v>
      </c>
      <c r="D78" s="319"/>
    </row>
    <row r="79" spans="1:4">
      <c r="A79" s="316">
        <v>77</v>
      </c>
      <c r="B79" s="317"/>
      <c r="C79" s="318">
        <v>77</v>
      </c>
      <c r="D79" s="319"/>
    </row>
    <row r="80" spans="1:4">
      <c r="A80" s="316">
        <v>78</v>
      </c>
      <c r="B80" s="317"/>
      <c r="C80" s="318">
        <v>78</v>
      </c>
      <c r="D80" s="319"/>
    </row>
    <row r="81" spans="1:4">
      <c r="A81" s="316">
        <v>79</v>
      </c>
      <c r="B81" s="317"/>
      <c r="C81" s="318">
        <v>79</v>
      </c>
      <c r="D81" s="319"/>
    </row>
    <row r="82" spans="1:4">
      <c r="A82" s="316">
        <v>80</v>
      </c>
      <c r="B82" s="317"/>
      <c r="C82" s="318">
        <v>80</v>
      </c>
      <c r="D82" s="319"/>
    </row>
    <row r="83" spans="1:4">
      <c r="A83" s="316">
        <v>81</v>
      </c>
      <c r="B83" s="317"/>
      <c r="C83" s="318">
        <v>81</v>
      </c>
      <c r="D83" s="319"/>
    </row>
    <row r="84" spans="1:4">
      <c r="A84" s="316">
        <v>82</v>
      </c>
      <c r="B84" s="317"/>
      <c r="C84" s="318">
        <v>82</v>
      </c>
      <c r="D84" s="319"/>
    </row>
    <row r="85" spans="1:4">
      <c r="A85" s="316">
        <v>83</v>
      </c>
      <c r="B85" s="317"/>
      <c r="C85" s="318">
        <v>83</v>
      </c>
      <c r="D85" s="319"/>
    </row>
    <row r="86" spans="1:4">
      <c r="A86" s="316">
        <v>84</v>
      </c>
      <c r="B86" s="317"/>
      <c r="C86" s="318">
        <v>84</v>
      </c>
      <c r="D86" s="319"/>
    </row>
    <row r="87" spans="1:4">
      <c r="A87" s="316">
        <v>85</v>
      </c>
      <c r="B87" s="317"/>
      <c r="C87" s="318">
        <v>85</v>
      </c>
      <c r="D87" s="319"/>
    </row>
    <row r="88" spans="1:4">
      <c r="A88" s="316">
        <v>86</v>
      </c>
      <c r="B88" s="317"/>
      <c r="C88" s="318">
        <v>86</v>
      </c>
      <c r="D88" s="319"/>
    </row>
    <row r="89" spans="1:4">
      <c r="A89" s="316">
        <v>87</v>
      </c>
      <c r="B89" s="317"/>
      <c r="C89" s="318">
        <v>87</v>
      </c>
      <c r="D89" s="319"/>
    </row>
    <row r="90" spans="1:4">
      <c r="A90" s="316">
        <v>88</v>
      </c>
      <c r="B90" s="317"/>
      <c r="C90" s="318">
        <v>88</v>
      </c>
      <c r="D90" s="319"/>
    </row>
    <row r="91" spans="1:4">
      <c r="A91" s="316">
        <v>89</v>
      </c>
      <c r="B91" s="317"/>
      <c r="C91" s="318">
        <v>89</v>
      </c>
      <c r="D91" s="319"/>
    </row>
    <row r="92" spans="1:4">
      <c r="A92" s="316">
        <v>90</v>
      </c>
      <c r="B92" s="317"/>
      <c r="C92" s="318">
        <v>90</v>
      </c>
      <c r="D92" s="319"/>
    </row>
    <row r="93" spans="1:4">
      <c r="A93" s="316">
        <v>91</v>
      </c>
      <c r="B93" s="317"/>
      <c r="C93" s="318">
        <v>91</v>
      </c>
      <c r="D93" s="319"/>
    </row>
    <row r="94" spans="1:4">
      <c r="A94" s="316">
        <v>92</v>
      </c>
      <c r="B94" s="317"/>
      <c r="C94" s="318">
        <v>92</v>
      </c>
      <c r="D94" s="319"/>
    </row>
    <row r="95" spans="1:4">
      <c r="A95" s="316">
        <v>93</v>
      </c>
      <c r="B95" s="317"/>
      <c r="C95" s="318">
        <v>93</v>
      </c>
      <c r="D95" s="319"/>
    </row>
    <row r="96" spans="1:4">
      <c r="A96" s="316">
        <v>94</v>
      </c>
      <c r="B96" s="317"/>
      <c r="C96" s="318">
        <v>94</v>
      </c>
      <c r="D96" s="319"/>
    </row>
    <row r="97" spans="1:4">
      <c r="A97" s="316">
        <v>95</v>
      </c>
      <c r="B97" s="317"/>
      <c r="C97" s="318">
        <v>95</v>
      </c>
      <c r="D97" s="319"/>
    </row>
    <row r="98" spans="1:4">
      <c r="A98" s="316">
        <v>96</v>
      </c>
      <c r="B98" s="317"/>
      <c r="C98" s="318">
        <v>96</v>
      </c>
      <c r="D98" s="319"/>
    </row>
    <row r="99" spans="1:4">
      <c r="A99" s="316">
        <v>97</v>
      </c>
      <c r="B99" s="317"/>
      <c r="C99" s="318">
        <v>97</v>
      </c>
      <c r="D99" s="319"/>
    </row>
    <row r="100" spans="1:4">
      <c r="A100" s="316">
        <v>98</v>
      </c>
      <c r="B100" s="317"/>
      <c r="C100" s="318">
        <v>98</v>
      </c>
      <c r="D100" s="319"/>
    </row>
    <row r="101" spans="1:4">
      <c r="A101" s="316">
        <v>99</v>
      </c>
      <c r="B101" s="317"/>
      <c r="C101" s="318">
        <v>99</v>
      </c>
      <c r="D101" s="319"/>
    </row>
    <row r="102" spans="1:4">
      <c r="A102" s="316">
        <v>100</v>
      </c>
      <c r="B102" s="317"/>
      <c r="C102" s="318">
        <v>100</v>
      </c>
      <c r="D102" s="319"/>
    </row>
    <row r="103" spans="1:4">
      <c r="A103" s="316">
        <v>101</v>
      </c>
      <c r="B103" s="317"/>
      <c r="C103" s="318">
        <v>101</v>
      </c>
      <c r="D103" s="319"/>
    </row>
    <row r="104" spans="1:4">
      <c r="A104" s="316">
        <v>102</v>
      </c>
      <c r="B104" s="317"/>
      <c r="C104" s="318">
        <v>102</v>
      </c>
      <c r="D104" s="319"/>
    </row>
    <row r="105" spans="1:4">
      <c r="A105" s="316">
        <v>103</v>
      </c>
      <c r="B105" s="317"/>
      <c r="C105" s="318">
        <v>103</v>
      </c>
      <c r="D105" s="319"/>
    </row>
    <row r="106" spans="1:4">
      <c r="A106" s="316">
        <v>104</v>
      </c>
      <c r="B106" s="317"/>
      <c r="C106" s="318">
        <v>104</v>
      </c>
      <c r="D106" s="319"/>
    </row>
    <row r="107" spans="1:4">
      <c r="A107" s="316">
        <v>105</v>
      </c>
      <c r="B107" s="317"/>
      <c r="C107" s="318">
        <v>105</v>
      </c>
      <c r="D107" s="319"/>
    </row>
    <row r="108" spans="1:4">
      <c r="A108" s="316">
        <v>106</v>
      </c>
      <c r="B108" s="317"/>
      <c r="C108" s="318">
        <v>106</v>
      </c>
      <c r="D108" s="319"/>
    </row>
    <row r="109" spans="1:4">
      <c r="A109" s="316">
        <v>107</v>
      </c>
      <c r="B109" s="317"/>
      <c r="C109" s="318">
        <v>107</v>
      </c>
      <c r="D109" s="319"/>
    </row>
    <row r="110" spans="1:4">
      <c r="A110" s="316">
        <v>108</v>
      </c>
      <c r="B110" s="317"/>
      <c r="C110" s="318">
        <v>108</v>
      </c>
      <c r="D110" s="319"/>
    </row>
    <row r="111" spans="1:4">
      <c r="A111" s="316">
        <v>109</v>
      </c>
      <c r="B111" s="317"/>
      <c r="C111" s="318">
        <v>109</v>
      </c>
      <c r="D111" s="319"/>
    </row>
    <row r="112" spans="1:4">
      <c r="A112" s="316">
        <v>110</v>
      </c>
      <c r="B112" s="317"/>
      <c r="C112" s="318">
        <v>110</v>
      </c>
      <c r="D112" s="319"/>
    </row>
    <row r="113" spans="1:4">
      <c r="A113" s="316">
        <v>111</v>
      </c>
      <c r="B113" s="317"/>
      <c r="C113" s="318">
        <v>111</v>
      </c>
      <c r="D113" s="319"/>
    </row>
    <row r="114" spans="1:4">
      <c r="A114" s="316">
        <v>112</v>
      </c>
      <c r="B114" s="317"/>
      <c r="C114" s="318">
        <v>112</v>
      </c>
      <c r="D114" s="319"/>
    </row>
    <row r="115" spans="1:4">
      <c r="A115" s="316">
        <v>113</v>
      </c>
      <c r="B115" s="317"/>
      <c r="C115" s="318">
        <v>113</v>
      </c>
      <c r="D115" s="319"/>
    </row>
    <row r="116" spans="1:4">
      <c r="A116" s="316">
        <v>114</v>
      </c>
      <c r="B116" s="317"/>
      <c r="C116" s="318">
        <v>114</v>
      </c>
      <c r="D116" s="319"/>
    </row>
    <row r="117" spans="1:4">
      <c r="A117" s="316">
        <v>115</v>
      </c>
      <c r="B117" s="317"/>
      <c r="C117" s="318">
        <v>115</v>
      </c>
      <c r="D117" s="319"/>
    </row>
    <row r="118" spans="1:4">
      <c r="A118" s="316">
        <v>116</v>
      </c>
      <c r="B118" s="317"/>
      <c r="C118" s="318">
        <v>116</v>
      </c>
      <c r="D118" s="319"/>
    </row>
    <row r="119" spans="1:4">
      <c r="A119" s="316">
        <v>117</v>
      </c>
      <c r="B119" s="317"/>
      <c r="C119" s="318">
        <v>117</v>
      </c>
      <c r="D119" s="319"/>
    </row>
    <row r="120" spans="1:4">
      <c r="A120" s="316">
        <v>118</v>
      </c>
      <c r="B120" s="317"/>
      <c r="C120" s="318">
        <v>118</v>
      </c>
      <c r="D120" s="319"/>
    </row>
    <row r="121" spans="1:4">
      <c r="A121" s="316">
        <v>119</v>
      </c>
      <c r="B121" s="317"/>
      <c r="C121" s="318">
        <v>119</v>
      </c>
      <c r="D121" s="319"/>
    </row>
    <row r="122" spans="1:4">
      <c r="A122" s="316">
        <v>120</v>
      </c>
      <c r="B122" s="317"/>
      <c r="C122" s="318">
        <v>120</v>
      </c>
      <c r="D122" s="319"/>
    </row>
    <row r="123" spans="1:4">
      <c r="A123" s="316">
        <v>121</v>
      </c>
      <c r="B123" s="317"/>
      <c r="C123" s="318">
        <v>121</v>
      </c>
      <c r="D123" s="319"/>
    </row>
    <row r="124" spans="1:4">
      <c r="A124" s="316">
        <v>122</v>
      </c>
      <c r="B124" s="317"/>
      <c r="C124" s="318">
        <v>122</v>
      </c>
      <c r="D124" s="319"/>
    </row>
    <row r="125" spans="1:4">
      <c r="A125" s="316">
        <v>123</v>
      </c>
      <c r="B125" s="317"/>
      <c r="C125" s="318">
        <v>123</v>
      </c>
      <c r="D125" s="319"/>
    </row>
    <row r="126" spans="1:4">
      <c r="A126" s="316">
        <v>124</v>
      </c>
      <c r="B126" s="317"/>
      <c r="C126" s="318">
        <v>124</v>
      </c>
      <c r="D126" s="319"/>
    </row>
    <row r="127" spans="1:4">
      <c r="A127" s="316">
        <v>125</v>
      </c>
      <c r="B127" s="317"/>
      <c r="C127" s="318">
        <v>125</v>
      </c>
      <c r="D127" s="319"/>
    </row>
    <row r="128" spans="1:4">
      <c r="A128" s="316">
        <v>126</v>
      </c>
      <c r="B128" s="317"/>
      <c r="C128" s="318">
        <v>126</v>
      </c>
      <c r="D128" s="319"/>
    </row>
    <row r="129" spans="1:4">
      <c r="A129" s="316">
        <v>127</v>
      </c>
      <c r="B129" s="317"/>
      <c r="C129" s="318">
        <v>127</v>
      </c>
      <c r="D129" s="319"/>
    </row>
    <row r="130" spans="1:4">
      <c r="A130" s="316">
        <v>128</v>
      </c>
      <c r="B130" s="317"/>
      <c r="C130" s="318">
        <v>128</v>
      </c>
      <c r="D130" s="319"/>
    </row>
    <row r="131" spans="1:4">
      <c r="A131" s="316">
        <v>129</v>
      </c>
      <c r="B131" s="317"/>
      <c r="C131" s="318">
        <v>129</v>
      </c>
      <c r="D131" s="319"/>
    </row>
    <row r="132" spans="1:4">
      <c r="A132" s="316">
        <v>130</v>
      </c>
      <c r="B132" s="317"/>
      <c r="C132" s="318">
        <v>130</v>
      </c>
      <c r="D132" s="319"/>
    </row>
    <row r="133" spans="1:4">
      <c r="A133" s="316">
        <v>131</v>
      </c>
      <c r="B133" s="317"/>
      <c r="C133" s="318">
        <v>131</v>
      </c>
      <c r="D133" s="319"/>
    </row>
    <row r="134" spans="1:4">
      <c r="A134" s="316">
        <v>132</v>
      </c>
      <c r="B134" s="317"/>
      <c r="C134" s="318">
        <v>132</v>
      </c>
      <c r="D134" s="319"/>
    </row>
    <row r="135" spans="1:4">
      <c r="A135" s="316">
        <v>133</v>
      </c>
      <c r="B135" s="317"/>
      <c r="C135" s="318">
        <v>133</v>
      </c>
      <c r="D135" s="319"/>
    </row>
    <row r="136" spans="1:4">
      <c r="A136" s="316">
        <v>134</v>
      </c>
      <c r="B136" s="317"/>
      <c r="C136" s="318">
        <v>134</v>
      </c>
      <c r="D136" s="319"/>
    </row>
    <row r="137" spans="1:4">
      <c r="A137" s="316">
        <v>135</v>
      </c>
      <c r="B137" s="317"/>
      <c r="C137" s="318">
        <v>135</v>
      </c>
      <c r="D137" s="319"/>
    </row>
    <row r="138" spans="1:4">
      <c r="A138" s="316">
        <v>136</v>
      </c>
      <c r="B138" s="317"/>
      <c r="C138" s="318">
        <v>136</v>
      </c>
      <c r="D138" s="319"/>
    </row>
    <row r="139" spans="1:4">
      <c r="A139" s="316">
        <v>137</v>
      </c>
      <c r="B139" s="317"/>
      <c r="C139" s="318">
        <v>137</v>
      </c>
      <c r="D139" s="319"/>
    </row>
    <row r="140" spans="1:4">
      <c r="A140" s="316">
        <v>138</v>
      </c>
      <c r="B140" s="317"/>
      <c r="C140" s="318">
        <v>138</v>
      </c>
      <c r="D140" s="319"/>
    </row>
    <row r="141" spans="1:4">
      <c r="A141" s="316">
        <v>139</v>
      </c>
      <c r="B141" s="317"/>
      <c r="C141" s="318">
        <v>139</v>
      </c>
      <c r="D141" s="319"/>
    </row>
    <row r="142" spans="1:4">
      <c r="A142" s="316">
        <v>140</v>
      </c>
      <c r="B142" s="317"/>
      <c r="C142" s="318">
        <v>140</v>
      </c>
      <c r="D142" s="319"/>
    </row>
    <row r="143" spans="1:4">
      <c r="A143" s="316">
        <v>141</v>
      </c>
      <c r="B143" s="317"/>
      <c r="C143" s="318">
        <v>141</v>
      </c>
      <c r="D143" s="319"/>
    </row>
    <row r="144" spans="1:4">
      <c r="A144" s="316">
        <v>142</v>
      </c>
      <c r="B144" s="317"/>
      <c r="C144" s="318">
        <v>142</v>
      </c>
      <c r="D144" s="319"/>
    </row>
    <row r="145" spans="1:4">
      <c r="A145" s="316">
        <v>143</v>
      </c>
      <c r="B145" s="317"/>
      <c r="C145" s="318">
        <v>143</v>
      </c>
      <c r="D145" s="319"/>
    </row>
    <row r="146" spans="1:4">
      <c r="A146" s="316">
        <v>144</v>
      </c>
      <c r="B146" s="317"/>
      <c r="C146" s="318">
        <v>144</v>
      </c>
      <c r="D146" s="319"/>
    </row>
    <row r="147" spans="1:4">
      <c r="A147" s="316">
        <v>145</v>
      </c>
      <c r="B147" s="317"/>
      <c r="C147" s="318">
        <v>145</v>
      </c>
      <c r="D147" s="319"/>
    </row>
    <row r="148" spans="1:4">
      <c r="A148" s="316">
        <v>146</v>
      </c>
      <c r="B148" s="317"/>
      <c r="C148" s="318">
        <v>146</v>
      </c>
      <c r="D148" s="319"/>
    </row>
    <row r="149" spans="1:4">
      <c r="A149" s="316">
        <v>147</v>
      </c>
      <c r="B149" s="317"/>
      <c r="C149" s="318">
        <v>147</v>
      </c>
      <c r="D149" s="319"/>
    </row>
    <row r="150" spans="1:4">
      <c r="A150" s="316">
        <v>148</v>
      </c>
      <c r="B150" s="317"/>
      <c r="C150" s="318">
        <v>148</v>
      </c>
      <c r="D150" s="319"/>
    </row>
    <row r="151" spans="1:4">
      <c r="A151" s="316">
        <v>149</v>
      </c>
      <c r="B151" s="317"/>
      <c r="C151" s="318">
        <v>149</v>
      </c>
      <c r="D151" s="319"/>
    </row>
    <row r="152" spans="1:4">
      <c r="A152" s="316">
        <v>150</v>
      </c>
      <c r="B152" s="317"/>
      <c r="C152" s="318">
        <v>150</v>
      </c>
      <c r="D152" s="319"/>
    </row>
    <row r="153" spans="1:4">
      <c r="A153" s="316">
        <v>151</v>
      </c>
      <c r="B153" s="317"/>
      <c r="C153" s="318">
        <v>151</v>
      </c>
      <c r="D153" s="319"/>
    </row>
    <row r="154" spans="1:4">
      <c r="A154" s="316">
        <v>152</v>
      </c>
      <c r="B154" s="317"/>
      <c r="C154" s="318">
        <v>152</v>
      </c>
      <c r="D154" s="319"/>
    </row>
    <row r="155" spans="1:4">
      <c r="A155" s="316">
        <v>153</v>
      </c>
      <c r="B155" s="317"/>
      <c r="C155" s="318">
        <v>153</v>
      </c>
      <c r="D155" s="319"/>
    </row>
    <row r="156" spans="1:4">
      <c r="A156" s="316">
        <v>154</v>
      </c>
      <c r="B156" s="317"/>
      <c r="C156" s="318">
        <v>154</v>
      </c>
      <c r="D156" s="319"/>
    </row>
    <row r="157" spans="1:4">
      <c r="A157" s="316">
        <v>155</v>
      </c>
      <c r="B157" s="317"/>
      <c r="C157" s="318">
        <v>155</v>
      </c>
      <c r="D157" s="319"/>
    </row>
    <row r="158" spans="1:4">
      <c r="A158" s="316">
        <v>156</v>
      </c>
      <c r="B158" s="317"/>
      <c r="C158" s="318">
        <v>156</v>
      </c>
      <c r="D158" s="319"/>
    </row>
    <row r="159" spans="1:4">
      <c r="A159" s="316">
        <v>157</v>
      </c>
      <c r="B159" s="317"/>
      <c r="C159" s="318">
        <v>157</v>
      </c>
      <c r="D159" s="319"/>
    </row>
    <row r="160" spans="1:4">
      <c r="A160" s="316">
        <v>158</v>
      </c>
      <c r="B160" s="317"/>
      <c r="C160" s="318">
        <v>158</v>
      </c>
      <c r="D160" s="319"/>
    </row>
    <row r="161" spans="1:4">
      <c r="A161" s="316">
        <v>159</v>
      </c>
      <c r="B161" s="317"/>
      <c r="C161" s="318">
        <v>159</v>
      </c>
      <c r="D161" s="319"/>
    </row>
    <row r="162" spans="1:4">
      <c r="A162" s="316">
        <v>160</v>
      </c>
      <c r="B162" s="317"/>
      <c r="C162" s="318">
        <v>160</v>
      </c>
      <c r="D162" s="319"/>
    </row>
    <row r="163" spans="1:4">
      <c r="A163" s="316">
        <v>161</v>
      </c>
      <c r="B163" s="317"/>
      <c r="C163" s="318">
        <v>161</v>
      </c>
      <c r="D163" s="319"/>
    </row>
    <row r="164" spans="1:4">
      <c r="A164" s="316">
        <v>162</v>
      </c>
      <c r="B164" s="317"/>
      <c r="C164" s="318">
        <v>162</v>
      </c>
      <c r="D164" s="319"/>
    </row>
    <row r="165" spans="1:4">
      <c r="A165" s="316">
        <v>163</v>
      </c>
      <c r="B165" s="317"/>
      <c r="C165" s="318">
        <v>163</v>
      </c>
      <c r="D165" s="319"/>
    </row>
    <row r="166" spans="1:4">
      <c r="A166" s="316">
        <v>164</v>
      </c>
      <c r="B166" s="317"/>
      <c r="C166" s="318">
        <v>164</v>
      </c>
      <c r="D166" s="319"/>
    </row>
    <row r="167" spans="1:4">
      <c r="A167" s="316">
        <v>165</v>
      </c>
      <c r="B167" s="317"/>
      <c r="C167" s="318">
        <v>165</v>
      </c>
      <c r="D167" s="319"/>
    </row>
    <row r="168" spans="1:4">
      <c r="A168" s="316">
        <v>166</v>
      </c>
      <c r="B168" s="317"/>
      <c r="C168" s="318">
        <v>166</v>
      </c>
      <c r="D168" s="319"/>
    </row>
    <row r="169" spans="1:4">
      <c r="A169" s="316">
        <v>167</v>
      </c>
      <c r="B169" s="317"/>
      <c r="C169" s="318">
        <v>167</v>
      </c>
      <c r="D169" s="319"/>
    </row>
    <row r="170" spans="1:4">
      <c r="A170" s="316">
        <v>168</v>
      </c>
      <c r="B170" s="317"/>
      <c r="C170" s="318">
        <v>168</v>
      </c>
      <c r="D170" s="319"/>
    </row>
    <row r="171" spans="1:4">
      <c r="A171" s="316">
        <v>169</v>
      </c>
      <c r="B171" s="317"/>
      <c r="C171" s="318">
        <v>169</v>
      </c>
      <c r="D171" s="319"/>
    </row>
    <row r="172" spans="1:4">
      <c r="A172" s="316">
        <v>170</v>
      </c>
      <c r="B172" s="317"/>
      <c r="C172" s="318">
        <v>170</v>
      </c>
      <c r="D172" s="319"/>
    </row>
    <row r="173" spans="1:4">
      <c r="A173" s="316">
        <v>171</v>
      </c>
      <c r="B173" s="317"/>
      <c r="C173" s="318">
        <v>171</v>
      </c>
      <c r="D173" s="319"/>
    </row>
    <row r="174" spans="1:4">
      <c r="A174" s="316">
        <v>172</v>
      </c>
      <c r="B174" s="317"/>
      <c r="C174" s="318">
        <v>172</v>
      </c>
      <c r="D174" s="319"/>
    </row>
    <row r="175" spans="1:4">
      <c r="A175" s="316">
        <v>173</v>
      </c>
      <c r="B175" s="317"/>
      <c r="C175" s="318">
        <v>173</v>
      </c>
      <c r="D175" s="319"/>
    </row>
    <row r="176" spans="1:4">
      <c r="A176" s="316">
        <v>174</v>
      </c>
      <c r="B176" s="317"/>
      <c r="C176" s="318">
        <v>174</v>
      </c>
      <c r="D176" s="319"/>
    </row>
    <row r="177" spans="1:4">
      <c r="A177" s="316">
        <v>175</v>
      </c>
      <c r="B177" s="317"/>
      <c r="C177" s="318">
        <v>175</v>
      </c>
      <c r="D177" s="319"/>
    </row>
    <row r="178" spans="1:4">
      <c r="A178" s="316">
        <v>176</v>
      </c>
      <c r="B178" s="317"/>
      <c r="C178" s="318">
        <v>176</v>
      </c>
      <c r="D178" s="319"/>
    </row>
    <row r="179" spans="1:4">
      <c r="A179" s="316">
        <v>177</v>
      </c>
      <c r="B179" s="317"/>
      <c r="C179" s="318">
        <v>177</v>
      </c>
      <c r="D179" s="319"/>
    </row>
    <row r="180" spans="1:4">
      <c r="A180" s="316">
        <v>178</v>
      </c>
      <c r="B180" s="317"/>
      <c r="C180" s="318">
        <v>178</v>
      </c>
      <c r="D180" s="319"/>
    </row>
    <row r="181" spans="1:4">
      <c r="A181" s="316">
        <v>179</v>
      </c>
      <c r="B181" s="317"/>
      <c r="C181" s="318">
        <v>179</v>
      </c>
      <c r="D181" s="319"/>
    </row>
    <row r="182" spans="1:4">
      <c r="A182" s="316">
        <v>180</v>
      </c>
      <c r="B182" s="317"/>
      <c r="C182" s="318">
        <v>180</v>
      </c>
      <c r="D182" s="319"/>
    </row>
    <row r="183" spans="1:4">
      <c r="A183" s="316">
        <v>181</v>
      </c>
      <c r="B183" s="317"/>
      <c r="C183" s="318">
        <v>181</v>
      </c>
      <c r="D183" s="319"/>
    </row>
    <row r="184" spans="1:4">
      <c r="A184" s="316">
        <v>182</v>
      </c>
      <c r="B184" s="317"/>
      <c r="C184" s="318">
        <v>182</v>
      </c>
      <c r="D184" s="319"/>
    </row>
    <row r="185" spans="1:4">
      <c r="A185" s="316">
        <v>183</v>
      </c>
      <c r="B185" s="317"/>
      <c r="C185" s="318">
        <v>183</v>
      </c>
      <c r="D185" s="319"/>
    </row>
    <row r="186" spans="1:4">
      <c r="A186" s="316">
        <v>184</v>
      </c>
      <c r="B186" s="317"/>
      <c r="C186" s="318">
        <v>184</v>
      </c>
      <c r="D186" s="319"/>
    </row>
    <row r="187" spans="1:4">
      <c r="A187" s="316">
        <v>185</v>
      </c>
      <c r="B187" s="317"/>
      <c r="C187" s="318">
        <v>185</v>
      </c>
      <c r="D187" s="319"/>
    </row>
    <row r="188" spans="1:4">
      <c r="A188" s="316">
        <v>186</v>
      </c>
      <c r="B188" s="317"/>
      <c r="C188" s="318">
        <v>186</v>
      </c>
      <c r="D188" s="319"/>
    </row>
    <row r="189" spans="1:4">
      <c r="A189" s="316">
        <v>187</v>
      </c>
      <c r="B189" s="317"/>
      <c r="C189" s="318">
        <v>187</v>
      </c>
      <c r="D189" s="319"/>
    </row>
    <row r="190" spans="1:4">
      <c r="A190" s="316">
        <v>188</v>
      </c>
      <c r="B190" s="317"/>
      <c r="C190" s="318">
        <v>188</v>
      </c>
      <c r="D190" s="319"/>
    </row>
    <row r="191" spans="1:4">
      <c r="A191" s="316">
        <v>189</v>
      </c>
      <c r="B191" s="317"/>
      <c r="C191" s="318">
        <v>189</v>
      </c>
      <c r="D191" s="319"/>
    </row>
    <row r="192" spans="1:4">
      <c r="A192" s="316">
        <v>190</v>
      </c>
      <c r="B192" s="317"/>
      <c r="C192" s="318">
        <v>190</v>
      </c>
      <c r="D192" s="319"/>
    </row>
    <row r="193" spans="1:4">
      <c r="A193" s="316">
        <v>191</v>
      </c>
      <c r="B193" s="317"/>
      <c r="C193" s="318">
        <v>191</v>
      </c>
      <c r="D193" s="319"/>
    </row>
    <row r="194" spans="1:4">
      <c r="A194" s="316">
        <v>192</v>
      </c>
      <c r="B194" s="317"/>
      <c r="C194" s="318">
        <v>192</v>
      </c>
      <c r="D194" s="319"/>
    </row>
    <row r="195" spans="1:4">
      <c r="A195" s="316">
        <v>193</v>
      </c>
      <c r="B195" s="317"/>
      <c r="C195" s="318">
        <v>193</v>
      </c>
      <c r="D195" s="319"/>
    </row>
    <row r="196" spans="1:4">
      <c r="A196" s="316">
        <v>194</v>
      </c>
      <c r="B196" s="317"/>
      <c r="C196" s="318">
        <v>194</v>
      </c>
      <c r="D196" s="319"/>
    </row>
    <row r="197" spans="1:4">
      <c r="A197" s="316">
        <v>195</v>
      </c>
      <c r="B197" s="317"/>
      <c r="C197" s="318">
        <v>195</v>
      </c>
      <c r="D197" s="319"/>
    </row>
    <row r="198" spans="1:4">
      <c r="A198" s="316">
        <v>196</v>
      </c>
      <c r="B198" s="317"/>
      <c r="C198" s="318">
        <v>196</v>
      </c>
      <c r="D198" s="319"/>
    </row>
    <row r="199" spans="1:4">
      <c r="A199" s="316">
        <v>197</v>
      </c>
      <c r="B199" s="317"/>
      <c r="C199" s="318">
        <v>197</v>
      </c>
      <c r="D199" s="319"/>
    </row>
    <row r="200" spans="1:4">
      <c r="A200" s="316">
        <v>198</v>
      </c>
      <c r="B200" s="317"/>
      <c r="C200" s="318">
        <v>198</v>
      </c>
      <c r="D200" s="319"/>
    </row>
    <row r="201" spans="1:4">
      <c r="A201" s="316">
        <v>199</v>
      </c>
      <c r="B201" s="317"/>
      <c r="C201" s="318">
        <v>199</v>
      </c>
      <c r="D201" s="319"/>
    </row>
    <row r="202" spans="1:4">
      <c r="A202" s="316">
        <v>200</v>
      </c>
      <c r="B202" s="317"/>
      <c r="C202" s="318">
        <v>200</v>
      </c>
      <c r="D202" s="319"/>
    </row>
    <row r="203" spans="1:4">
      <c r="A203" s="316">
        <v>201</v>
      </c>
      <c r="B203" s="317"/>
      <c r="C203" s="318">
        <v>201</v>
      </c>
      <c r="D203" s="319"/>
    </row>
    <row r="204" spans="1:4">
      <c r="A204" s="316">
        <v>202</v>
      </c>
      <c r="B204" s="317"/>
      <c r="C204" s="318">
        <v>202</v>
      </c>
      <c r="D204" s="319"/>
    </row>
    <row r="205" spans="1:4">
      <c r="A205" s="316">
        <v>203</v>
      </c>
      <c r="B205" s="317"/>
      <c r="C205" s="318">
        <v>203</v>
      </c>
      <c r="D205" s="319"/>
    </row>
    <row r="206" spans="1:4">
      <c r="A206" s="316">
        <v>204</v>
      </c>
      <c r="B206" s="317"/>
      <c r="C206" s="318">
        <v>204</v>
      </c>
      <c r="D206" s="319"/>
    </row>
    <row r="207" spans="1:4">
      <c r="A207" s="316">
        <v>205</v>
      </c>
      <c r="B207" s="317"/>
      <c r="C207" s="318">
        <v>205</v>
      </c>
      <c r="D207" s="319"/>
    </row>
    <row r="208" spans="1:4">
      <c r="A208" s="316">
        <v>206</v>
      </c>
      <c r="B208" s="317"/>
      <c r="C208" s="318">
        <v>206</v>
      </c>
      <c r="D208" s="319"/>
    </row>
    <row r="209" spans="1:4">
      <c r="A209" s="316">
        <v>207</v>
      </c>
      <c r="B209" s="317"/>
      <c r="C209" s="318">
        <v>207</v>
      </c>
      <c r="D209" s="319"/>
    </row>
    <row r="210" spans="1:4">
      <c r="A210" s="316">
        <v>208</v>
      </c>
      <c r="B210" s="317"/>
      <c r="C210" s="318">
        <v>208</v>
      </c>
      <c r="D210" s="319"/>
    </row>
    <row r="211" spans="1:4">
      <c r="A211" s="316">
        <v>209</v>
      </c>
      <c r="B211" s="317"/>
      <c r="C211" s="318">
        <v>209</v>
      </c>
      <c r="D211" s="319"/>
    </row>
    <row r="212" spans="1:4">
      <c r="A212" s="316">
        <v>210</v>
      </c>
      <c r="B212" s="317"/>
      <c r="C212" s="318">
        <v>210</v>
      </c>
      <c r="D212" s="319"/>
    </row>
    <row r="213" spans="1:4">
      <c r="A213" s="316">
        <v>211</v>
      </c>
      <c r="B213" s="317"/>
      <c r="C213" s="318">
        <v>211</v>
      </c>
      <c r="D213" s="319"/>
    </row>
    <row r="214" spans="1:4">
      <c r="A214" s="316">
        <v>212</v>
      </c>
      <c r="B214" s="317"/>
      <c r="C214" s="318">
        <v>212</v>
      </c>
      <c r="D214" s="319"/>
    </row>
    <row r="215" spans="1:4">
      <c r="A215" s="316">
        <v>213</v>
      </c>
      <c r="B215" s="317"/>
      <c r="C215" s="318">
        <v>213</v>
      </c>
      <c r="D215" s="319"/>
    </row>
    <row r="216" spans="1:4">
      <c r="A216" s="316">
        <v>214</v>
      </c>
      <c r="B216" s="317"/>
      <c r="C216" s="318">
        <v>214</v>
      </c>
      <c r="D216" s="319"/>
    </row>
    <row r="217" spans="1:4">
      <c r="A217" s="316">
        <v>215</v>
      </c>
      <c r="B217" s="317"/>
      <c r="C217" s="318">
        <v>215</v>
      </c>
      <c r="D217" s="319"/>
    </row>
    <row r="218" spans="1:4">
      <c r="A218" s="316">
        <v>216</v>
      </c>
      <c r="B218" s="317"/>
      <c r="C218" s="318">
        <v>216</v>
      </c>
      <c r="D218" s="319"/>
    </row>
    <row r="219" spans="1:4">
      <c r="A219" s="316">
        <v>217</v>
      </c>
      <c r="B219" s="317"/>
      <c r="C219" s="318">
        <v>217</v>
      </c>
      <c r="D219" s="319"/>
    </row>
    <row r="220" spans="1:4">
      <c r="A220" s="316">
        <v>218</v>
      </c>
      <c r="B220" s="317"/>
      <c r="C220" s="318">
        <v>218</v>
      </c>
      <c r="D220" s="319"/>
    </row>
    <row r="221" spans="1:4">
      <c r="A221" s="316">
        <v>219</v>
      </c>
      <c r="B221" s="317"/>
      <c r="C221" s="318">
        <v>219</v>
      </c>
      <c r="D221" s="319"/>
    </row>
    <row r="222" spans="1:4">
      <c r="A222" s="316">
        <v>220</v>
      </c>
      <c r="B222" s="317"/>
      <c r="C222" s="318">
        <v>220</v>
      </c>
      <c r="D222" s="319"/>
    </row>
    <row r="223" spans="1:4">
      <c r="A223" s="316">
        <v>221</v>
      </c>
      <c r="B223" s="317"/>
      <c r="C223" s="318">
        <v>221</v>
      </c>
      <c r="D223" s="319"/>
    </row>
    <row r="224" spans="1:4">
      <c r="A224" s="316">
        <v>222</v>
      </c>
      <c r="B224" s="317"/>
      <c r="C224" s="318">
        <v>222</v>
      </c>
      <c r="D224" s="319"/>
    </row>
    <row r="225" spans="1:4">
      <c r="A225" s="316">
        <v>223</v>
      </c>
      <c r="B225" s="317"/>
      <c r="C225" s="318">
        <v>223</v>
      </c>
      <c r="D225" s="319"/>
    </row>
    <row r="226" spans="1:4">
      <c r="A226" s="316">
        <v>224</v>
      </c>
      <c r="B226" s="317"/>
      <c r="C226" s="318">
        <v>224</v>
      </c>
      <c r="D226" s="319"/>
    </row>
    <row r="227" spans="1:4">
      <c r="A227" s="316">
        <v>225</v>
      </c>
      <c r="B227" s="317"/>
      <c r="C227" s="318">
        <v>225</v>
      </c>
      <c r="D227" s="319"/>
    </row>
    <row r="228" spans="1:4">
      <c r="A228" s="316">
        <v>226</v>
      </c>
      <c r="B228" s="317"/>
      <c r="C228" s="318">
        <v>226</v>
      </c>
      <c r="D228" s="319"/>
    </row>
    <row r="229" spans="1:4">
      <c r="A229" s="316">
        <v>227</v>
      </c>
      <c r="B229" s="317"/>
      <c r="C229" s="318">
        <v>227</v>
      </c>
      <c r="D229" s="319"/>
    </row>
    <row r="230" spans="1:4">
      <c r="A230" s="316">
        <v>228</v>
      </c>
      <c r="B230" s="317"/>
      <c r="C230" s="318">
        <v>228</v>
      </c>
      <c r="D230" s="319"/>
    </row>
    <row r="231" spans="1:4">
      <c r="A231" s="316">
        <v>229</v>
      </c>
      <c r="B231" s="317"/>
      <c r="C231" s="318">
        <v>229</v>
      </c>
      <c r="D231" s="319"/>
    </row>
    <row r="232" spans="1:4">
      <c r="A232" s="316">
        <v>230</v>
      </c>
      <c r="B232" s="317"/>
      <c r="C232" s="318">
        <v>230</v>
      </c>
      <c r="D232" s="319"/>
    </row>
    <row r="233" spans="1:4">
      <c r="A233" s="316">
        <v>231</v>
      </c>
      <c r="B233" s="317"/>
      <c r="C233" s="318">
        <v>231</v>
      </c>
      <c r="D233" s="319"/>
    </row>
    <row r="234" spans="1:4">
      <c r="A234" s="316">
        <v>232</v>
      </c>
      <c r="B234" s="317"/>
      <c r="C234" s="318">
        <v>232</v>
      </c>
      <c r="D234" s="319"/>
    </row>
    <row r="235" spans="1:4">
      <c r="A235" s="316">
        <v>233</v>
      </c>
      <c r="B235" s="317"/>
      <c r="C235" s="318">
        <v>233</v>
      </c>
      <c r="D235" s="319"/>
    </row>
    <row r="236" spans="1:4">
      <c r="A236" s="316">
        <v>234</v>
      </c>
      <c r="B236" s="317"/>
      <c r="C236" s="318">
        <v>234</v>
      </c>
      <c r="D236" s="319"/>
    </row>
    <row r="237" spans="1:4">
      <c r="A237" s="316">
        <v>235</v>
      </c>
      <c r="B237" s="317"/>
      <c r="C237" s="318">
        <v>235</v>
      </c>
      <c r="D237" s="319"/>
    </row>
    <row r="238" spans="1:4">
      <c r="A238" s="316">
        <v>236</v>
      </c>
      <c r="B238" s="317"/>
      <c r="C238" s="318">
        <v>236</v>
      </c>
      <c r="D238" s="319"/>
    </row>
    <row r="239" spans="1:4">
      <c r="A239" s="316">
        <v>237</v>
      </c>
      <c r="B239" s="317"/>
      <c r="C239" s="318">
        <v>237</v>
      </c>
      <c r="D239" s="319"/>
    </row>
    <row r="240" spans="1:4">
      <c r="A240" s="316">
        <v>238</v>
      </c>
      <c r="B240" s="317"/>
      <c r="C240" s="318">
        <v>238</v>
      </c>
      <c r="D240" s="319"/>
    </row>
    <row r="241" spans="1:4">
      <c r="A241" s="316">
        <v>239</v>
      </c>
      <c r="B241" s="317"/>
      <c r="C241" s="318">
        <v>239</v>
      </c>
      <c r="D241" s="319"/>
    </row>
    <row r="242" spans="1:4">
      <c r="A242" s="316">
        <v>240</v>
      </c>
      <c r="B242" s="317"/>
      <c r="C242" s="318">
        <v>240</v>
      </c>
      <c r="D242" s="319"/>
    </row>
    <row r="243" spans="1:4">
      <c r="A243" s="316">
        <v>241</v>
      </c>
      <c r="B243" s="317"/>
      <c r="C243" s="318">
        <v>241</v>
      </c>
      <c r="D243" s="319"/>
    </row>
    <row r="244" spans="1:4">
      <c r="A244" s="316">
        <v>242</v>
      </c>
      <c r="B244" s="317"/>
      <c r="C244" s="318">
        <v>242</v>
      </c>
      <c r="D244" s="319"/>
    </row>
    <row r="245" spans="1:4">
      <c r="A245" s="316">
        <v>243</v>
      </c>
      <c r="B245" s="317"/>
      <c r="C245" s="318">
        <v>243</v>
      </c>
      <c r="D245" s="319"/>
    </row>
    <row r="246" spans="1:4">
      <c r="A246" s="316">
        <v>244</v>
      </c>
      <c r="B246" s="317"/>
      <c r="C246" s="318">
        <v>244</v>
      </c>
      <c r="D246" s="319"/>
    </row>
    <row r="247" spans="1:4">
      <c r="A247" s="316">
        <v>245</v>
      </c>
      <c r="B247" s="317"/>
      <c r="C247" s="318">
        <v>245</v>
      </c>
      <c r="D247" s="319"/>
    </row>
    <row r="248" spans="1:4">
      <c r="A248" s="316">
        <v>246</v>
      </c>
      <c r="B248" s="317"/>
      <c r="C248" s="318">
        <v>246</v>
      </c>
      <c r="D248" s="319"/>
    </row>
    <row r="249" spans="1:4">
      <c r="A249" s="316">
        <v>247</v>
      </c>
      <c r="B249" s="317"/>
      <c r="C249" s="318">
        <v>247</v>
      </c>
      <c r="D249" s="319"/>
    </row>
    <row r="250" spans="1:4">
      <c r="A250" s="316">
        <v>248</v>
      </c>
      <c r="B250" s="317"/>
      <c r="C250" s="318">
        <v>248</v>
      </c>
      <c r="D250" s="319"/>
    </row>
    <row r="251" spans="1:4">
      <c r="A251" s="316">
        <v>249</v>
      </c>
      <c r="B251" s="317"/>
      <c r="C251" s="318">
        <v>249</v>
      </c>
      <c r="D251" s="319"/>
    </row>
    <row r="252" spans="1:4">
      <c r="A252" s="316">
        <v>250</v>
      </c>
      <c r="B252" s="317"/>
      <c r="C252" s="318">
        <v>250</v>
      </c>
      <c r="D252" s="319"/>
    </row>
    <row r="253" spans="1:4">
      <c r="A253" s="316">
        <v>251</v>
      </c>
      <c r="B253" s="317"/>
      <c r="C253" s="318">
        <v>251</v>
      </c>
      <c r="D253" s="319"/>
    </row>
    <row r="254" spans="1:4">
      <c r="A254" s="316">
        <v>252</v>
      </c>
      <c r="B254" s="317"/>
      <c r="C254" s="318">
        <v>252</v>
      </c>
      <c r="D254" s="319"/>
    </row>
    <row r="255" spans="1:4">
      <c r="A255" s="316">
        <v>253</v>
      </c>
      <c r="B255" s="317"/>
      <c r="C255" s="318">
        <v>253</v>
      </c>
      <c r="D255" s="319"/>
    </row>
    <row r="256" spans="1:4">
      <c r="A256" s="316">
        <v>254</v>
      </c>
      <c r="B256" s="317"/>
      <c r="C256" s="318">
        <v>254</v>
      </c>
      <c r="D256" s="319"/>
    </row>
    <row r="257" spans="1:4">
      <c r="A257" s="316">
        <v>255</v>
      </c>
      <c r="B257" s="317"/>
      <c r="C257" s="318">
        <v>255</v>
      </c>
      <c r="D257" s="319"/>
    </row>
    <row r="258" spans="1:4">
      <c r="A258" s="316">
        <v>256</v>
      </c>
      <c r="B258" s="317"/>
      <c r="C258" s="318">
        <v>256</v>
      </c>
      <c r="D258" s="319"/>
    </row>
    <row r="259" spans="1:4">
      <c r="A259" s="316">
        <v>257</v>
      </c>
      <c r="B259" s="317"/>
      <c r="C259" s="318">
        <v>257</v>
      </c>
      <c r="D259" s="319"/>
    </row>
    <row r="260" spans="1:4">
      <c r="A260" s="316">
        <v>258</v>
      </c>
      <c r="B260" s="317"/>
      <c r="C260" s="318">
        <v>258</v>
      </c>
      <c r="D260" s="319"/>
    </row>
    <row r="261" spans="1:4">
      <c r="A261" s="316">
        <v>259</v>
      </c>
      <c r="B261" s="317"/>
      <c r="C261" s="318">
        <v>259</v>
      </c>
      <c r="D261" s="319"/>
    </row>
    <row r="262" spans="1:4">
      <c r="A262" s="316">
        <v>260</v>
      </c>
      <c r="B262" s="317"/>
      <c r="C262" s="318">
        <v>260</v>
      </c>
      <c r="D262" s="319"/>
    </row>
    <row r="263" spans="1:4">
      <c r="A263" s="316">
        <v>261</v>
      </c>
      <c r="B263" s="317"/>
      <c r="C263" s="318">
        <v>261</v>
      </c>
      <c r="D263" s="319"/>
    </row>
    <row r="264" spans="1:4">
      <c r="A264" s="316">
        <v>262</v>
      </c>
      <c r="B264" s="317"/>
      <c r="C264" s="318">
        <v>262</v>
      </c>
      <c r="D264" s="319"/>
    </row>
    <row r="265" spans="1:4">
      <c r="A265" s="316">
        <v>263</v>
      </c>
      <c r="B265" s="317"/>
      <c r="C265" s="318">
        <v>263</v>
      </c>
      <c r="D265" s="319"/>
    </row>
    <row r="266" spans="1:4">
      <c r="A266" s="316">
        <v>264</v>
      </c>
      <c r="B266" s="317"/>
      <c r="C266" s="318">
        <v>264</v>
      </c>
      <c r="D266" s="319"/>
    </row>
    <row r="267" spans="1:4">
      <c r="A267" s="316">
        <v>265</v>
      </c>
      <c r="B267" s="317"/>
      <c r="C267" s="318">
        <v>265</v>
      </c>
      <c r="D267" s="319"/>
    </row>
    <row r="268" spans="1:4">
      <c r="A268" s="316">
        <v>266</v>
      </c>
      <c r="B268" s="317"/>
      <c r="C268" s="318">
        <v>266</v>
      </c>
      <c r="D268" s="319"/>
    </row>
    <row r="269" spans="1:4">
      <c r="A269" s="316">
        <v>267</v>
      </c>
      <c r="B269" s="317"/>
      <c r="C269" s="318">
        <v>267</v>
      </c>
      <c r="D269" s="319"/>
    </row>
    <row r="270" spans="1:4">
      <c r="A270" s="316">
        <v>268</v>
      </c>
      <c r="B270" s="317"/>
      <c r="C270" s="318">
        <v>268</v>
      </c>
      <c r="D270" s="319"/>
    </row>
    <row r="271" spans="1:4">
      <c r="A271" s="316">
        <v>269</v>
      </c>
      <c r="B271" s="317"/>
      <c r="C271" s="318">
        <v>269</v>
      </c>
      <c r="D271" s="319"/>
    </row>
    <row r="272" spans="1:4">
      <c r="A272" s="316">
        <v>270</v>
      </c>
      <c r="B272" s="317"/>
      <c r="C272" s="318">
        <v>270</v>
      </c>
      <c r="D272" s="319"/>
    </row>
    <row r="273" spans="1:4">
      <c r="A273" s="316">
        <v>271</v>
      </c>
      <c r="B273" s="317"/>
      <c r="C273" s="318">
        <v>271</v>
      </c>
      <c r="D273" s="319"/>
    </row>
    <row r="274" spans="1:4">
      <c r="A274" s="316">
        <v>272</v>
      </c>
      <c r="B274" s="317"/>
      <c r="C274" s="318">
        <v>272</v>
      </c>
      <c r="D274" s="319"/>
    </row>
    <row r="275" spans="1:4">
      <c r="A275" s="316">
        <v>273</v>
      </c>
      <c r="B275" s="317"/>
      <c r="C275" s="318">
        <v>273</v>
      </c>
      <c r="D275" s="319"/>
    </row>
    <row r="276" spans="1:4">
      <c r="A276" s="316">
        <v>274</v>
      </c>
      <c r="B276" s="317"/>
      <c r="C276" s="318">
        <v>274</v>
      </c>
      <c r="D276" s="319"/>
    </row>
    <row r="277" spans="1:4">
      <c r="A277" s="316">
        <v>275</v>
      </c>
      <c r="B277" s="317"/>
      <c r="C277" s="318">
        <v>275</v>
      </c>
      <c r="D277" s="319"/>
    </row>
    <row r="278" spans="1:4">
      <c r="A278" s="316">
        <v>276</v>
      </c>
      <c r="B278" s="317"/>
      <c r="C278" s="318">
        <v>276</v>
      </c>
      <c r="D278" s="319"/>
    </row>
    <row r="279" spans="1:4">
      <c r="A279" s="316">
        <v>277</v>
      </c>
      <c r="B279" s="317"/>
      <c r="C279" s="318">
        <v>277</v>
      </c>
      <c r="D279" s="319"/>
    </row>
    <row r="280" spans="1:4">
      <c r="A280" s="316">
        <v>278</v>
      </c>
      <c r="B280" s="317"/>
      <c r="C280" s="318">
        <v>278</v>
      </c>
      <c r="D280" s="319"/>
    </row>
    <row r="281" spans="1:4">
      <c r="A281" s="316">
        <v>279</v>
      </c>
      <c r="B281" s="317"/>
      <c r="C281" s="318">
        <v>279</v>
      </c>
      <c r="D281" s="319"/>
    </row>
    <row r="282" spans="1:4">
      <c r="A282" s="316">
        <v>280</v>
      </c>
      <c r="B282" s="317"/>
      <c r="C282" s="318">
        <v>280</v>
      </c>
      <c r="D282" s="319"/>
    </row>
    <row r="283" spans="1:4">
      <c r="A283" s="316">
        <v>281</v>
      </c>
      <c r="B283" s="317"/>
      <c r="C283" s="318">
        <v>281</v>
      </c>
      <c r="D283" s="319"/>
    </row>
    <row r="284" spans="1:4">
      <c r="A284" s="316">
        <v>282</v>
      </c>
      <c r="B284" s="317"/>
      <c r="C284" s="318">
        <v>282</v>
      </c>
      <c r="D284" s="319"/>
    </row>
    <row r="285" spans="1:4">
      <c r="A285" s="316">
        <v>283</v>
      </c>
      <c r="B285" s="317"/>
      <c r="C285" s="318">
        <v>283</v>
      </c>
      <c r="D285" s="319"/>
    </row>
    <row r="286" spans="1:4">
      <c r="A286" s="316">
        <v>284</v>
      </c>
      <c r="B286" s="317"/>
      <c r="C286" s="318">
        <v>284</v>
      </c>
      <c r="D286" s="319"/>
    </row>
    <row r="287" spans="1:4">
      <c r="A287" s="316">
        <v>285</v>
      </c>
      <c r="B287" s="317"/>
      <c r="C287" s="318">
        <v>285</v>
      </c>
      <c r="D287" s="319"/>
    </row>
    <row r="288" spans="1:4">
      <c r="A288" s="316">
        <v>286</v>
      </c>
      <c r="B288" s="317"/>
      <c r="C288" s="318">
        <v>286</v>
      </c>
      <c r="D288" s="319"/>
    </row>
    <row r="289" spans="1:4">
      <c r="A289" s="316">
        <v>287</v>
      </c>
      <c r="B289" s="317"/>
      <c r="C289" s="318">
        <v>287</v>
      </c>
      <c r="D289" s="319"/>
    </row>
    <row r="290" spans="1:4">
      <c r="A290" s="316">
        <v>288</v>
      </c>
      <c r="B290" s="317"/>
      <c r="C290" s="318">
        <v>288</v>
      </c>
      <c r="D290" s="319"/>
    </row>
    <row r="291" spans="1:4">
      <c r="A291" s="316">
        <v>289</v>
      </c>
      <c r="B291" s="317"/>
      <c r="C291" s="318">
        <v>289</v>
      </c>
      <c r="D291" s="319"/>
    </row>
    <row r="292" spans="1:4">
      <c r="A292" s="316">
        <v>290</v>
      </c>
      <c r="B292" s="317"/>
      <c r="C292" s="318">
        <v>290</v>
      </c>
      <c r="D292" s="319"/>
    </row>
    <row r="293" spans="1:4">
      <c r="A293" s="316">
        <v>291</v>
      </c>
      <c r="B293" s="317"/>
      <c r="C293" s="318">
        <v>291</v>
      </c>
      <c r="D293" s="319"/>
    </row>
    <row r="294" spans="1:4">
      <c r="A294" s="316">
        <v>292</v>
      </c>
      <c r="B294" s="317"/>
      <c r="C294" s="318">
        <v>292</v>
      </c>
      <c r="D294" s="319"/>
    </row>
    <row r="295" spans="1:4">
      <c r="A295" s="316">
        <v>293</v>
      </c>
      <c r="B295" s="317"/>
      <c r="C295" s="318">
        <v>293</v>
      </c>
      <c r="D295" s="319"/>
    </row>
    <row r="296" spans="1:4">
      <c r="A296" s="316">
        <v>294</v>
      </c>
      <c r="B296" s="317"/>
      <c r="C296" s="318">
        <v>294</v>
      </c>
      <c r="D296" s="319"/>
    </row>
    <row r="297" spans="1:4">
      <c r="A297" s="316">
        <v>295</v>
      </c>
      <c r="B297" s="317"/>
      <c r="C297" s="318">
        <v>295</v>
      </c>
      <c r="D297" s="319"/>
    </row>
    <row r="298" spans="1:4">
      <c r="A298" s="316">
        <v>296</v>
      </c>
      <c r="B298" s="317"/>
      <c r="C298" s="318">
        <v>296</v>
      </c>
      <c r="D298" s="319"/>
    </row>
    <row r="299" spans="1:4">
      <c r="A299" s="316">
        <v>297</v>
      </c>
      <c r="B299" s="317"/>
      <c r="C299" s="318">
        <v>297</v>
      </c>
      <c r="D299" s="319"/>
    </row>
    <row r="300" spans="1:4">
      <c r="A300" s="316">
        <v>298</v>
      </c>
      <c r="B300" s="317"/>
      <c r="C300" s="318">
        <v>298</v>
      </c>
      <c r="D300" s="319"/>
    </row>
    <row r="301" spans="1:4">
      <c r="A301" s="316">
        <v>299</v>
      </c>
      <c r="B301" s="317"/>
      <c r="C301" s="318">
        <v>299</v>
      </c>
      <c r="D301" s="319"/>
    </row>
    <row r="302" spans="1:4">
      <c r="A302" s="316">
        <v>300</v>
      </c>
      <c r="B302" s="317"/>
      <c r="C302" s="318">
        <v>300</v>
      </c>
      <c r="D302" s="319"/>
    </row>
  </sheetData>
  <mergeCells count="1">
    <mergeCell ref="A1:D1"/>
  </mergeCells>
  <printOptions horizontalCentered="1"/>
  <pageMargins left="0.19685039370078741" right="0.19685039370078741" top="0.19685039370078741" bottom="0.19685039370078741" header="0.31496062992125984" footer="0.31496062992125984"/>
  <pageSetup paperSize="9" scale="18"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7030A0"/>
    <pageSetUpPr fitToPage="1"/>
  </sheetPr>
  <dimension ref="A1:EZ53"/>
  <sheetViews>
    <sheetView view="pageBreakPreview" zoomScale="85" zoomScaleNormal="85" zoomScaleSheetLayoutView="85" workbookViewId="0">
      <selection activeCell="B9" sqref="B9"/>
    </sheetView>
  </sheetViews>
  <sheetFormatPr defaultRowHeight="15"/>
  <cols>
    <col min="1" max="1" width="6" style="54" customWidth="1"/>
    <col min="2" max="2" width="17.140625" style="54" customWidth="1"/>
    <col min="3" max="3" width="13" style="54" customWidth="1"/>
    <col min="4" max="4" width="12.42578125" style="54" customWidth="1"/>
    <col min="5" max="5" width="8.140625" style="54" customWidth="1"/>
    <col min="6" max="6" width="8.85546875" style="54" customWidth="1"/>
    <col min="7" max="7" width="19.140625" style="54" customWidth="1"/>
    <col min="8" max="8" width="18" style="54" customWidth="1"/>
    <col min="9" max="9" width="9.42578125" style="54" customWidth="1"/>
    <col min="10" max="10" width="11.28515625" style="54" customWidth="1"/>
    <col min="11" max="11" width="14.140625" style="54" customWidth="1"/>
    <col min="12" max="12" width="15.7109375" style="54" customWidth="1"/>
    <col min="13" max="14" width="14" style="54" customWidth="1"/>
    <col min="15" max="15" width="17.42578125" style="54" customWidth="1"/>
    <col min="16" max="17" width="8.5703125" style="54" customWidth="1"/>
    <col min="18" max="19" width="7.42578125" style="54" customWidth="1"/>
    <col min="20" max="20" width="7.7109375" style="54" customWidth="1"/>
    <col min="21" max="23" width="9.85546875" style="54" customWidth="1"/>
    <col min="24" max="24" width="8.85546875" style="54" customWidth="1"/>
    <col min="25" max="25" width="8.7109375" style="54" customWidth="1"/>
    <col min="26" max="26" width="7.7109375" style="54" customWidth="1"/>
    <col min="27" max="27" width="8.28515625" style="54" customWidth="1"/>
    <col min="28" max="28" width="7.5703125" style="54" customWidth="1"/>
    <col min="29" max="30" width="10.28515625" style="54" customWidth="1"/>
    <col min="31" max="31" width="14.42578125" style="54" customWidth="1"/>
    <col min="32" max="32" width="37.85546875" style="54" customWidth="1"/>
    <col min="33" max="33" width="9" style="80" hidden="1" customWidth="1"/>
    <col min="34" max="46" width="9" style="54" hidden="1" customWidth="1"/>
    <col min="47" max="47" width="9.5703125" style="54" customWidth="1"/>
    <col min="48" max="48" width="11.42578125" style="65" hidden="1" customWidth="1"/>
    <col min="49" max="49" width="9.140625" style="65" hidden="1" customWidth="1"/>
    <col min="50" max="50" width="18.28515625" style="65" hidden="1" customWidth="1"/>
    <col min="51" max="51" width="19.28515625" style="65" hidden="1" customWidth="1"/>
    <col min="52" max="52" width="52" style="65" hidden="1" customWidth="1"/>
    <col min="53" max="53" width="35.5703125" style="183" hidden="1" customWidth="1"/>
    <col min="54" max="54" width="26.140625" style="65" hidden="1" customWidth="1"/>
    <col min="55" max="55" width="15.42578125" style="183" hidden="1" customWidth="1"/>
    <col min="56" max="56" width="15.42578125" style="65" hidden="1" customWidth="1"/>
    <col min="57" max="57" width="54.42578125" style="183" hidden="1" customWidth="1"/>
    <col min="58" max="58" width="15.42578125" style="65" hidden="1" customWidth="1"/>
    <col min="59" max="59" width="15.7109375" style="65" hidden="1" customWidth="1"/>
    <col min="60" max="60" width="15.5703125" style="65" hidden="1" customWidth="1"/>
    <col min="61" max="61" width="22.140625" style="183" hidden="1" customWidth="1"/>
    <col min="62" max="62" width="19.7109375" style="184" hidden="1" customWidth="1"/>
    <col min="63" max="66" width="15.140625" style="65" hidden="1" customWidth="1"/>
    <col min="67" max="67" width="18.5703125" style="65" hidden="1" customWidth="1"/>
    <col min="68" max="68" width="20.5703125" style="65" hidden="1" customWidth="1"/>
    <col min="69" max="69" width="16.42578125" style="65" hidden="1" customWidth="1"/>
    <col min="70" max="70" width="14.28515625" style="65" hidden="1" customWidth="1"/>
    <col min="71" max="71" width="15.7109375" style="65" hidden="1" customWidth="1"/>
    <col min="72" max="72" width="12.140625" style="54" hidden="1" customWidth="1"/>
    <col min="73" max="73" width="20.28515625" style="183" hidden="1" customWidth="1"/>
    <col min="74" max="74" width="21.140625" style="183" hidden="1" customWidth="1"/>
    <col min="75" max="76" width="12.140625" style="54" hidden="1" customWidth="1"/>
    <col min="77" max="77" width="12.140625" style="65" hidden="1" customWidth="1"/>
    <col min="78" max="78" width="32.42578125" style="183" hidden="1" customWidth="1"/>
    <col min="79" max="79" width="29.5703125" style="65" hidden="1" customWidth="1"/>
    <col min="80" max="80" width="26" style="65" hidden="1" customWidth="1"/>
    <col min="81" max="81" width="26.28515625" style="65" hidden="1" customWidth="1"/>
    <col min="82" max="82" width="19.42578125" style="65" hidden="1" customWidth="1"/>
    <col min="83" max="83" width="30.42578125" style="183" hidden="1" customWidth="1"/>
    <col min="84" max="84" width="33" style="183" hidden="1" customWidth="1"/>
    <col min="85" max="85" width="21.7109375" style="65" hidden="1" customWidth="1"/>
    <col min="86" max="86" width="24" style="65" hidden="1" customWidth="1"/>
    <col min="87" max="87" width="27.42578125" style="183" hidden="1" customWidth="1"/>
    <col min="88" max="88" width="21.85546875" style="183" hidden="1" customWidth="1"/>
    <col min="89" max="89" width="19.42578125" style="183" hidden="1" customWidth="1"/>
    <col min="90" max="91" width="35.85546875" style="54" hidden="1" customWidth="1"/>
    <col min="92" max="92" width="43.7109375" style="54" hidden="1" customWidth="1"/>
    <col min="93" max="93" width="28.42578125" style="343" hidden="1" customWidth="1"/>
    <col min="94" max="94" width="16.140625" style="183" hidden="1" customWidth="1"/>
    <col min="95" max="95" width="21.5703125" style="183" hidden="1" customWidth="1"/>
    <col min="96" max="96" width="20.7109375" style="183" hidden="1" customWidth="1"/>
    <col min="97" max="97" width="15.85546875" style="183" hidden="1" customWidth="1"/>
    <col min="98" max="98" width="23.5703125" style="184" hidden="1" customWidth="1"/>
    <col min="99" max="99" width="27.5703125" style="183" hidden="1" customWidth="1"/>
    <col min="100" max="100" width="27.5703125" style="65" hidden="1" customWidth="1"/>
    <col min="101" max="102" width="27.5703125" style="183" hidden="1" customWidth="1"/>
    <col min="103" max="103" width="27.85546875" style="65" hidden="1" customWidth="1"/>
    <col min="104" max="104" width="25.7109375" style="54" hidden="1" customWidth="1"/>
    <col min="105" max="105" width="32.85546875" style="65" hidden="1" customWidth="1"/>
    <col min="106" max="106" width="35.42578125" style="54" hidden="1" customWidth="1"/>
    <col min="107" max="107" width="28" style="54" hidden="1" customWidth="1"/>
    <col min="108" max="108" width="32.140625" style="54" hidden="1" customWidth="1"/>
    <col min="109" max="109" width="38" style="54" hidden="1" customWidth="1"/>
    <col min="110" max="110" width="36.85546875" style="183" hidden="1" customWidth="1"/>
    <col min="111" max="112" width="9.140625" style="54" hidden="1" customWidth="1"/>
    <col min="113" max="113" width="29.85546875" style="217" hidden="1" customWidth="1"/>
    <col min="114" max="114" width="31.85546875" style="54" hidden="1" customWidth="1"/>
    <col min="115" max="115" width="62" style="54" hidden="1" customWidth="1"/>
    <col min="116" max="116" width="37.42578125" style="184" hidden="1" customWidth="1"/>
    <col min="117" max="117" width="9.140625" style="54" hidden="1" customWidth="1"/>
    <col min="118" max="118" width="27.42578125" style="65" hidden="1" customWidth="1"/>
    <col min="119" max="119" width="22" style="65" hidden="1" customWidth="1"/>
    <col min="120" max="120" width="20.42578125" style="65" hidden="1" customWidth="1"/>
    <col min="121" max="122" width="21.7109375" style="65" hidden="1" customWidth="1"/>
    <col min="123" max="123" width="19.5703125" style="65" hidden="1" customWidth="1"/>
    <col min="124" max="124" width="29.28515625" style="65" hidden="1" customWidth="1"/>
    <col min="125" max="125" width="33.28515625" style="65" hidden="1" customWidth="1"/>
    <col min="126" max="126" width="25.140625" style="54" hidden="1" customWidth="1"/>
    <col min="127" max="129" width="19.5703125" style="183" hidden="1" customWidth="1"/>
    <col min="130" max="130" width="19.7109375" style="54" hidden="1" customWidth="1"/>
    <col min="131" max="131" width="39" style="54" hidden="1" customWidth="1"/>
    <col min="132" max="132" width="7.5703125" style="54" hidden="1" customWidth="1"/>
    <col min="133" max="133" width="17.42578125" style="54" hidden="1" customWidth="1"/>
    <col min="134" max="134" width="24.42578125" style="54" hidden="1" customWidth="1"/>
    <col min="135" max="135" width="32.42578125" style="54" hidden="1" customWidth="1"/>
    <col min="136" max="136" width="25" style="54" hidden="1" customWidth="1"/>
    <col min="137" max="138" width="19.42578125" style="54" hidden="1" customWidth="1"/>
    <col min="139" max="139" width="22.42578125" style="54" hidden="1" customWidth="1"/>
    <col min="140" max="142" width="25.5703125" style="54" hidden="1" customWidth="1"/>
    <col min="143" max="143" width="29.140625" style="54" hidden="1" customWidth="1"/>
    <col min="144" max="144" width="25.5703125" style="54" hidden="1" customWidth="1"/>
    <col min="145" max="149" width="19.42578125" style="54" hidden="1" customWidth="1"/>
    <col min="150" max="150" width="26.85546875" style="54" hidden="1" customWidth="1"/>
    <col min="151" max="151" width="19" style="54" hidden="1" customWidth="1"/>
    <col min="152" max="152" width="15.140625" style="54" hidden="1" customWidth="1"/>
    <col min="153" max="153" width="20.7109375" style="54" hidden="1" customWidth="1"/>
    <col min="154" max="154" width="40.7109375" style="54" hidden="1" customWidth="1"/>
    <col min="155" max="156" width="9.140625" style="54" hidden="1" customWidth="1"/>
    <col min="157" max="157" width="9.140625" style="54" customWidth="1"/>
    <col min="158" max="16384" width="9.140625" style="54"/>
  </cols>
  <sheetData>
    <row r="1" spans="1:154" ht="27" customHeight="1">
      <c r="A1" s="90"/>
      <c r="B1" s="92"/>
      <c r="C1" s="92"/>
      <c r="D1" s="92"/>
      <c r="E1" s="92"/>
      <c r="F1" s="670"/>
      <c r="G1" s="670"/>
      <c r="H1" s="670"/>
      <c r="I1" s="670"/>
      <c r="J1" s="794"/>
      <c r="K1" s="58"/>
      <c r="L1" s="685" t="s">
        <v>0</v>
      </c>
      <c r="M1" s="776"/>
      <c r="N1" s="557">
        <f>Summary!D3</f>
        <v>0</v>
      </c>
      <c r="O1" s="557"/>
      <c r="P1" s="557"/>
      <c r="Q1" s="557"/>
      <c r="R1" s="557"/>
      <c r="S1" s="557"/>
      <c r="T1" s="557"/>
      <c r="U1" s="557"/>
      <c r="V1" s="557"/>
      <c r="W1" s="557"/>
      <c r="X1" s="557"/>
      <c r="Y1" s="557"/>
      <c r="Z1" s="557"/>
      <c r="AA1" s="59"/>
      <c r="AC1" s="180" t="s">
        <v>142</v>
      </c>
      <c r="AD1" s="211" t="s">
        <v>394</v>
      </c>
      <c r="AE1" s="552"/>
      <c r="AF1" s="774"/>
      <c r="AG1" s="54"/>
    </row>
    <row r="2" spans="1:154" ht="21" customHeight="1">
      <c r="A2" s="48"/>
      <c r="B2" s="49"/>
      <c r="C2" s="49"/>
      <c r="D2" s="49"/>
      <c r="E2" s="91"/>
      <c r="F2" s="779" t="s">
        <v>177</v>
      </c>
      <c r="G2" s="779"/>
      <c r="H2" s="779"/>
      <c r="I2" s="779"/>
      <c r="J2" s="780"/>
      <c r="K2" s="60"/>
      <c r="L2" s="685" t="s">
        <v>141</v>
      </c>
      <c r="M2" s="776"/>
      <c r="N2" s="561">
        <f>Summary!D6</f>
        <v>0</v>
      </c>
      <c r="O2" s="561"/>
      <c r="P2" s="561"/>
      <c r="Q2" s="561"/>
      <c r="R2" s="561"/>
      <c r="S2" s="561"/>
      <c r="T2" s="561"/>
      <c r="U2" s="561"/>
      <c r="V2" s="561"/>
      <c r="W2" s="561"/>
      <c r="X2" s="561"/>
      <c r="Y2" s="561"/>
      <c r="Z2" s="561"/>
      <c r="AB2" s="61"/>
      <c r="AC2" s="61"/>
      <c r="AE2" s="552"/>
      <c r="AF2" s="774"/>
    </row>
    <row r="3" spans="1:154" ht="21" customHeight="1">
      <c r="A3" s="7"/>
      <c r="B3" s="8"/>
      <c r="C3" s="91"/>
      <c r="D3" s="91"/>
      <c r="E3" s="91"/>
      <c r="F3" s="91"/>
      <c r="G3" s="58"/>
      <c r="H3" s="58"/>
      <c r="I3" s="58"/>
      <c r="J3" s="81"/>
      <c r="K3" s="58"/>
      <c r="L3" s="685" t="s">
        <v>143</v>
      </c>
      <c r="M3" s="776"/>
      <c r="N3" s="593">
        <f>Summary!D4</f>
        <v>0</v>
      </c>
      <c r="O3" s="593"/>
      <c r="P3" s="593"/>
      <c r="Q3" s="593"/>
      <c r="R3" s="593"/>
      <c r="S3" s="593"/>
      <c r="T3" s="593"/>
      <c r="U3" s="593"/>
      <c r="V3" s="593"/>
      <c r="W3" s="593"/>
      <c r="X3" s="593"/>
      <c r="Y3" s="593"/>
      <c r="Z3" s="593"/>
      <c r="AA3" s="765" t="s">
        <v>145</v>
      </c>
      <c r="AB3" s="765"/>
      <c r="AC3" s="777">
        <f>SUM(AD9:AD23)</f>
        <v>0</v>
      </c>
      <c r="AD3" s="777"/>
      <c r="AE3" s="62"/>
      <c r="AF3" s="63"/>
    </row>
    <row r="4" spans="1:154" ht="21" customHeight="1">
      <c r="A4" s="566" t="s">
        <v>453</v>
      </c>
      <c r="B4" s="787"/>
      <c r="C4" s="563"/>
      <c r="D4" s="786"/>
      <c r="E4" s="786" t="s">
        <v>452</v>
      </c>
      <c r="F4" s="563"/>
      <c r="G4" s="563"/>
      <c r="H4" s="566"/>
      <c r="I4" s="574"/>
      <c r="J4" s="567"/>
      <c r="K4" s="60"/>
      <c r="L4" s="685" t="s">
        <v>978</v>
      </c>
      <c r="M4" s="776"/>
      <c r="N4" s="568">
        <f>Summary!D7</f>
        <v>0</v>
      </c>
      <c r="O4" s="569"/>
      <c r="P4" s="569"/>
      <c r="Q4" s="569"/>
      <c r="R4" s="569"/>
      <c r="S4" s="569"/>
      <c r="T4" s="569"/>
      <c r="U4" s="569"/>
      <c r="V4" s="569"/>
      <c r="W4" s="569"/>
      <c r="X4" s="569"/>
      <c r="Y4" s="569"/>
      <c r="Z4" s="570"/>
      <c r="AA4" s="766" t="s">
        <v>584</v>
      </c>
      <c r="AB4" s="766"/>
      <c r="AC4" s="778">
        <f>SUM(F9:F23)</f>
        <v>0</v>
      </c>
      <c r="AD4" s="778"/>
      <c r="AE4" s="775"/>
      <c r="AF4" s="553"/>
    </row>
    <row r="5" spans="1:154" ht="21" customHeight="1">
      <c r="A5" s="101" t="s">
        <v>1031</v>
      </c>
      <c r="B5" s="104"/>
      <c r="C5" s="104"/>
      <c r="D5" s="104"/>
      <c r="E5" s="104"/>
      <c r="F5" s="104" t="s">
        <v>210</v>
      </c>
      <c r="G5" s="104"/>
      <c r="H5" s="104"/>
      <c r="I5" s="104"/>
      <c r="J5" s="122"/>
      <c r="K5" s="288" t="s">
        <v>1036</v>
      </c>
      <c r="L5" s="685" t="s">
        <v>144</v>
      </c>
      <c r="M5" s="776"/>
      <c r="N5" s="539">
        <f>Summary!D8</f>
        <v>0</v>
      </c>
      <c r="O5" s="539"/>
      <c r="P5" s="539"/>
      <c r="Q5" s="539"/>
      <c r="R5" s="539"/>
      <c r="S5" s="539"/>
      <c r="T5" s="539"/>
      <c r="U5" s="539"/>
      <c r="V5" s="539"/>
      <c r="W5" s="539"/>
      <c r="X5" s="539"/>
      <c r="Y5" s="539"/>
      <c r="Z5" s="539"/>
      <c r="AB5" s="179"/>
      <c r="AC5" s="208"/>
      <c r="AD5" s="82"/>
      <c r="AE5" s="552"/>
      <c r="AF5" s="553"/>
    </row>
    <row r="6" spans="1:154">
      <c r="A6" s="781" t="s">
        <v>967</v>
      </c>
      <c r="B6" s="782"/>
      <c r="C6" s="782"/>
      <c r="D6" s="782"/>
      <c r="E6" s="782"/>
      <c r="F6" s="782"/>
      <c r="G6" s="782"/>
      <c r="H6" s="782"/>
      <c r="I6" s="782"/>
      <c r="J6" s="783"/>
      <c r="K6" s="325">
        <v>27</v>
      </c>
      <c r="L6" s="747" t="s">
        <v>654</v>
      </c>
      <c r="M6" s="748"/>
      <c r="N6" s="770" t="str">
        <f>CN13</f>
        <v xml:space="preserve">         </v>
      </c>
      <c r="O6" s="771"/>
      <c r="P6" s="771"/>
      <c r="Q6" s="771"/>
      <c r="R6" s="771"/>
      <c r="S6" s="771"/>
      <c r="T6" s="771"/>
      <c r="U6" s="771"/>
      <c r="V6" s="771"/>
      <c r="W6" s="771"/>
      <c r="X6" s="771"/>
      <c r="Y6" s="772"/>
      <c r="Z6" s="773"/>
      <c r="AA6" s="181"/>
    </row>
    <row r="7" spans="1:154" ht="15.75" thickBot="1">
      <c r="A7" s="127"/>
      <c r="B7" s="767" t="s">
        <v>725</v>
      </c>
      <c r="C7" s="768"/>
      <c r="D7" s="768"/>
      <c r="E7" s="768"/>
      <c r="F7" s="768"/>
      <c r="G7" s="768"/>
      <c r="H7" s="768"/>
      <c r="I7" s="768"/>
      <c r="J7" s="769"/>
      <c r="K7" s="148" t="s">
        <v>731</v>
      </c>
      <c r="L7" s="147"/>
      <c r="M7" s="767" t="s">
        <v>725</v>
      </c>
      <c r="N7" s="768"/>
      <c r="O7" s="768"/>
      <c r="P7" s="768"/>
      <c r="Q7" s="768"/>
      <c r="R7" s="768"/>
      <c r="S7" s="768"/>
      <c r="T7" s="768"/>
      <c r="U7" s="768"/>
      <c r="V7" s="769"/>
      <c r="W7" s="687" t="s">
        <v>957</v>
      </c>
      <c r="X7" s="688"/>
      <c r="Y7" s="581" t="str">
        <f>DK24</f>
        <v/>
      </c>
      <c r="Z7" s="598"/>
      <c r="AA7" s="598"/>
      <c r="AB7" s="599"/>
      <c r="DN7" s="169" t="s">
        <v>825</v>
      </c>
      <c r="DO7" s="169"/>
      <c r="DP7" s="169"/>
      <c r="DQ7" s="169"/>
      <c r="DR7" s="169"/>
      <c r="DS7" s="169"/>
      <c r="EJ7" s="157"/>
      <c r="EK7" s="157"/>
      <c r="EL7" s="169" t="s">
        <v>22</v>
      </c>
      <c r="EM7" s="157"/>
      <c r="EN7" s="266"/>
    </row>
    <row r="8" spans="1:154" ht="49.5" customHeight="1" thickTop="1" thickBot="1">
      <c r="A8" s="66" t="s">
        <v>146</v>
      </c>
      <c r="B8" s="128" t="s">
        <v>147</v>
      </c>
      <c r="C8" s="128" t="s">
        <v>148</v>
      </c>
      <c r="D8" s="129" t="s">
        <v>149</v>
      </c>
      <c r="E8" s="130" t="s">
        <v>206</v>
      </c>
      <c r="F8" s="130" t="s">
        <v>955</v>
      </c>
      <c r="G8" s="131" t="s">
        <v>876</v>
      </c>
      <c r="H8" s="788" t="s">
        <v>152</v>
      </c>
      <c r="I8" s="789"/>
      <c r="J8" s="129" t="s">
        <v>150</v>
      </c>
      <c r="K8" s="149" t="s">
        <v>789</v>
      </c>
      <c r="L8" s="75" t="s">
        <v>153</v>
      </c>
      <c r="M8" s="133" t="s">
        <v>14</v>
      </c>
      <c r="N8" s="134" t="s">
        <v>155</v>
      </c>
      <c r="O8" s="132" t="s">
        <v>154</v>
      </c>
      <c r="P8" s="745" t="s">
        <v>157</v>
      </c>
      <c r="Q8" s="746"/>
      <c r="R8" s="133" t="s">
        <v>355</v>
      </c>
      <c r="S8" s="134" t="s">
        <v>356</v>
      </c>
      <c r="T8" s="134" t="s">
        <v>357</v>
      </c>
      <c r="U8" s="134" t="s">
        <v>374</v>
      </c>
      <c r="V8" s="133" t="s">
        <v>161</v>
      </c>
      <c r="W8" s="67" t="s">
        <v>156</v>
      </c>
      <c r="X8" s="67" t="s">
        <v>375</v>
      </c>
      <c r="Y8" s="67" t="s">
        <v>962</v>
      </c>
      <c r="Z8" s="67" t="s">
        <v>158</v>
      </c>
      <c r="AA8" s="67" t="s">
        <v>159</v>
      </c>
      <c r="AB8" s="67" t="s">
        <v>160</v>
      </c>
      <c r="AC8" s="68" t="s">
        <v>958</v>
      </c>
      <c r="AD8" s="162" t="s">
        <v>162</v>
      </c>
      <c r="AE8" s="231"/>
      <c r="AF8" s="231"/>
      <c r="AU8" s="93" t="s">
        <v>450</v>
      </c>
      <c r="AV8" s="55" t="s">
        <v>973</v>
      </c>
      <c r="AW8" s="218" t="s">
        <v>970</v>
      </c>
      <c r="AX8" s="218" t="s">
        <v>971</v>
      </c>
      <c r="AY8" s="169" t="s">
        <v>156</v>
      </c>
      <c r="AZ8" s="338" t="s">
        <v>333</v>
      </c>
      <c r="BA8" s="339" t="s">
        <v>376</v>
      </c>
      <c r="BB8" s="150" t="s">
        <v>395</v>
      </c>
      <c r="BC8" s="339" t="s">
        <v>396</v>
      </c>
      <c r="BD8" s="338" t="s">
        <v>582</v>
      </c>
      <c r="BE8" s="339" t="s">
        <v>397</v>
      </c>
      <c r="BF8" s="150" t="s">
        <v>398</v>
      </c>
      <c r="BG8" s="338" t="s">
        <v>161</v>
      </c>
      <c r="BH8" s="338" t="s">
        <v>401</v>
      </c>
      <c r="BI8" s="150" t="s">
        <v>375</v>
      </c>
      <c r="BJ8" s="339" t="s">
        <v>161</v>
      </c>
      <c r="BK8" s="150" t="s">
        <v>426</v>
      </c>
      <c r="BL8" s="150" t="s">
        <v>427</v>
      </c>
      <c r="BM8" s="150" t="s">
        <v>428</v>
      </c>
      <c r="BN8" s="150" t="s">
        <v>429</v>
      </c>
      <c r="BO8" s="150" t="s">
        <v>419</v>
      </c>
      <c r="BP8" s="338" t="s">
        <v>423</v>
      </c>
      <c r="BQ8" s="151" t="s">
        <v>451</v>
      </c>
      <c r="BR8" s="151" t="s">
        <v>457</v>
      </c>
      <c r="BS8" s="151" t="s">
        <v>458</v>
      </c>
      <c r="BT8" s="152" t="s">
        <v>578</v>
      </c>
      <c r="BU8" s="152" t="s">
        <v>576</v>
      </c>
      <c r="BV8" s="152" t="s">
        <v>357</v>
      </c>
      <c r="BW8" s="152" t="s">
        <v>579</v>
      </c>
      <c r="BX8" s="152" t="s">
        <v>580</v>
      </c>
      <c r="BY8" s="152" t="s">
        <v>581</v>
      </c>
      <c r="BZ8" s="331" t="s">
        <v>585</v>
      </c>
      <c r="CA8" s="331" t="s">
        <v>150</v>
      </c>
      <c r="CB8" s="153" t="s">
        <v>612</v>
      </c>
      <c r="CC8" s="277" t="s">
        <v>613</v>
      </c>
      <c r="CD8" s="337" t="s">
        <v>616</v>
      </c>
      <c r="CE8" s="153" t="s">
        <v>617</v>
      </c>
      <c r="CF8" s="153" t="s">
        <v>157</v>
      </c>
      <c r="CG8" s="153" t="s">
        <v>649</v>
      </c>
      <c r="CH8" s="153" t="s">
        <v>650</v>
      </c>
      <c r="CI8" s="153" t="s">
        <v>651</v>
      </c>
      <c r="CJ8" s="153" t="s">
        <v>652</v>
      </c>
      <c r="CK8" s="153" t="s">
        <v>653</v>
      </c>
      <c r="CL8" s="154"/>
      <c r="CM8" s="154"/>
      <c r="CN8" s="154" t="s">
        <v>658</v>
      </c>
      <c r="CO8" s="326" t="s">
        <v>729</v>
      </c>
      <c r="CP8" s="152" t="s">
        <v>729</v>
      </c>
      <c r="CQ8" s="152" t="s">
        <v>730</v>
      </c>
      <c r="CR8" s="152" t="s">
        <v>157</v>
      </c>
      <c r="CS8" s="152" t="s">
        <v>731</v>
      </c>
      <c r="CT8" s="152" t="s">
        <v>732</v>
      </c>
      <c r="CU8" s="326" t="s">
        <v>752</v>
      </c>
      <c r="CV8" s="152" t="s">
        <v>877</v>
      </c>
      <c r="CW8" s="329" t="s">
        <v>878</v>
      </c>
      <c r="CX8" s="329" t="s">
        <v>879</v>
      </c>
      <c r="CY8" s="331" t="s">
        <v>753</v>
      </c>
      <c r="CZ8" s="337" t="s">
        <v>783</v>
      </c>
      <c r="DA8" s="153" t="s">
        <v>784</v>
      </c>
      <c r="DB8" s="120" t="s">
        <v>786</v>
      </c>
      <c r="DC8" s="120" t="s">
        <v>785</v>
      </c>
      <c r="DD8" s="120" t="s">
        <v>787</v>
      </c>
      <c r="DE8" s="120" t="s">
        <v>794</v>
      </c>
      <c r="DF8" s="185" t="s">
        <v>375</v>
      </c>
      <c r="DG8" s="120"/>
      <c r="DH8" s="120"/>
      <c r="DI8" s="185" t="s">
        <v>803</v>
      </c>
      <c r="DJ8" s="185" t="s">
        <v>804</v>
      </c>
      <c r="DK8" s="185" t="s">
        <v>822</v>
      </c>
      <c r="DL8" s="120" t="s">
        <v>950</v>
      </c>
      <c r="DM8" s="120"/>
      <c r="DN8" s="170" t="s">
        <v>824</v>
      </c>
      <c r="DO8" s="170" t="s">
        <v>826</v>
      </c>
      <c r="DP8" s="170" t="s">
        <v>827</v>
      </c>
      <c r="DQ8" s="170" t="s">
        <v>828</v>
      </c>
      <c r="DR8" s="170" t="s">
        <v>829</v>
      </c>
      <c r="DS8" s="170" t="s">
        <v>830</v>
      </c>
      <c r="DT8" s="185" t="s">
        <v>937</v>
      </c>
      <c r="DU8" s="185" t="s">
        <v>155</v>
      </c>
      <c r="DV8" s="120" t="s">
        <v>14</v>
      </c>
      <c r="DW8" s="216" t="s">
        <v>959</v>
      </c>
      <c r="DX8" s="216" t="s">
        <v>960</v>
      </c>
      <c r="DY8" s="261" t="s">
        <v>961</v>
      </c>
      <c r="DZ8" s="219" t="s">
        <v>972</v>
      </c>
      <c r="EA8" s="65" t="s">
        <v>1033</v>
      </c>
      <c r="EB8" s="65" t="s">
        <v>971</v>
      </c>
      <c r="EC8" s="54" t="s">
        <v>1034</v>
      </c>
      <c r="ED8" s="157" t="s">
        <v>1037</v>
      </c>
      <c r="EE8" s="169" t="s">
        <v>357</v>
      </c>
      <c r="EF8" s="169" t="s">
        <v>1055</v>
      </c>
      <c r="EG8" s="335" t="s">
        <v>1086</v>
      </c>
      <c r="EH8" s="336" t="s">
        <v>1087</v>
      </c>
      <c r="EI8" s="333" t="s">
        <v>1088</v>
      </c>
      <c r="EJ8" s="273" t="s">
        <v>1458</v>
      </c>
      <c r="EK8" s="273" t="s">
        <v>1459</v>
      </c>
      <c r="EL8" s="273" t="s">
        <v>1460</v>
      </c>
      <c r="EM8" s="273" t="s">
        <v>1461</v>
      </c>
      <c r="EN8" s="275" t="s">
        <v>732</v>
      </c>
      <c r="EO8" s="265" t="s">
        <v>872</v>
      </c>
      <c r="EP8" s="332" t="s">
        <v>1774</v>
      </c>
      <c r="EQ8" s="332" t="s">
        <v>1775</v>
      </c>
      <c r="ER8" s="265" t="s">
        <v>873</v>
      </c>
      <c r="ES8" s="279" t="s">
        <v>871</v>
      </c>
      <c r="ET8" s="279" t="s">
        <v>1462</v>
      </c>
      <c r="EU8" s="273" t="s">
        <v>1463</v>
      </c>
      <c r="EV8" s="342" t="s">
        <v>1530</v>
      </c>
      <c r="EW8" s="271" t="s">
        <v>1531</v>
      </c>
      <c r="EX8" s="342" t="s">
        <v>1532</v>
      </c>
    </row>
    <row r="9" spans="1:154" ht="36.75" customHeight="1" thickTop="1">
      <c r="A9" s="50">
        <v>1</v>
      </c>
      <c r="B9" s="9"/>
      <c r="C9" s="24"/>
      <c r="D9" s="24"/>
      <c r="E9" s="10"/>
      <c r="F9" s="24"/>
      <c r="G9" s="25"/>
      <c r="H9" s="691"/>
      <c r="I9" s="784"/>
      <c r="J9" s="24"/>
      <c r="K9" s="143" t="str">
        <f>IF(G9="","",EU9)</f>
        <v/>
      </c>
      <c r="L9" s="11"/>
      <c r="M9" s="11"/>
      <c r="N9" s="11"/>
      <c r="O9" s="11"/>
      <c r="P9" s="785"/>
      <c r="Q9" s="785"/>
      <c r="R9" s="25"/>
      <c r="S9" s="25"/>
      <c r="T9" s="25"/>
      <c r="U9" s="25"/>
      <c r="V9" s="11"/>
      <c r="W9" s="11"/>
      <c r="X9" s="26"/>
      <c r="Y9" s="26"/>
      <c r="Z9" s="24"/>
      <c r="AA9" s="24"/>
      <c r="AB9" s="24"/>
      <c r="AC9" s="18"/>
      <c r="AD9" s="163" t="str">
        <f t="shared" ref="AD9:AD23" si="0">IF(SUM(D9)=0,"",IF(E9="MS",SUM(((C9*D9)/1000000)*F9),SUM(((C9*D9)/1000000))))</f>
        <v/>
      </c>
      <c r="AE9" s="229"/>
      <c r="AF9" s="230"/>
      <c r="AU9" s="107" t="str">
        <f>IF(G9="Fauxwood Eco",BT9+BX9+BY9,IF(G9="Fauxwood Eco Air",BT9+BX9+BY9,IF(G9="Fauxwood Eco Elite",BT9+BX9+BY9, IF(G9="Fauxwood Night",BT9+BX9+BY9,IF(G9="Timber Eco",BW9+BX9+BY9,"")))))</f>
        <v/>
      </c>
      <c r="AV9" s="65" t="e">
        <f>IF(OR(AND(W9="",DZ9="Yes")), "Yes","No")</f>
        <v>#N/A</v>
      </c>
      <c r="AW9" s="169" t="e">
        <f>VLOOKUP(P9,Data!$MI$2:$MJ$4,2,FALSE)</f>
        <v>#N/A</v>
      </c>
      <c r="AX9" s="169" t="e">
        <f>IF(OR(AND(E9="IN",AW9="Yes")), "Yes","No")</f>
        <v>#N/A</v>
      </c>
      <c r="AY9" s="169" t="e">
        <f>VLOOKUP(N9,Data!$BI$24:$BJ$30,2,FALSE)</f>
        <v>#N/A</v>
      </c>
      <c r="AZ9" s="155" t="b">
        <f>IF(G9=Data!$BO$2,Data!$BS$2, IF(Shutters!G9=Data!$BP$2,Data!$BT$2, IF(Shutters!G9=Data!$BQ$2,Data!$BU$2)))</f>
        <v>0</v>
      </c>
      <c r="BA9" s="340" t="str">
        <f>IF(OR(AND(D9&gt;1500,G9="Fauxwood Eco",L9=""), AND(D9&gt;1500,G9="Fauxwood Night",L9=""), AND(D9&gt;1500,G9="Fauxwood Eco Air",L9=""),AND(D9&gt;1500,G9="Fauxwood Eco Elite",L9=""), AND(D9&gt;1800,G9="Timber Eco",L9="")), "Yes","No")</f>
        <v>No</v>
      </c>
      <c r="BB9" s="155" t="e">
        <f>IF(E9="MS",C9*1,C9/F9)</f>
        <v>#DIV/0!</v>
      </c>
      <c r="BC9" s="340" t="e">
        <f>IF(OR(AND(BB9&gt;650,G9="Fauxwood Eco"), AND(BB9&gt;650,G9="Fauxwood Night"), AND(BB9&gt;650,G9="Fauxwood Eco Air"), AND(BB9&gt;650,G9="Fauxwood Eco Elite"), AND(BB9&gt;950,G9="Timber Eco")), "Yes","No")</f>
        <v>#DIV/0!</v>
      </c>
      <c r="BD9" s="155" t="e">
        <f t="shared" ref="BD9:BD23" si="1">IF(OR(AND(BB9&gt;650,G9="Fauxwood",E9="MS"),AND(BB9&gt;700,G9="Fauxwood",E9="IN"),AND(BB9&gt;700,G9="Fauxwood",E9="OUT")), "Yes","No")</f>
        <v>#DIV/0!</v>
      </c>
      <c r="BE9" s="340" t="str">
        <f>IF(OR(AND(D9&gt;2600,G9="Fauxwood Eco"),AND(D9&gt;2600,G9="Fauxwood Night"), AND(D9&gt;2600,G9="Fauxwood Eco Air"),AND(D9&gt;2600,G9="Fauxwood Eco Elite"),AND(D9&gt;3000,G9="Timber Eco")), "Yes","No")</f>
        <v>No</v>
      </c>
      <c r="BF9" s="155" t="str">
        <f>IF(OR(AND(C9&gt;0,V9="")), "Required","NotRequired")</f>
        <v>NotRequired</v>
      </c>
      <c r="BG9" s="155" t="b">
        <f>IF(G9=Data!$BO$2,Data!$CM$2, IF(Shutters!G9=Data!$BP$2,Data!$CN$2, IF(Shutters!G9=Data!$BQ$2,Data!$CO$2)))</f>
        <v>0</v>
      </c>
      <c r="BH9" s="155" t="e">
        <f>IF(OR(AND(AZ9="FauxwoodY",BC9="Yes")), "Highlight","NoHighlight")</f>
        <v>#DIV/0!</v>
      </c>
      <c r="BI9" s="156" t="str">
        <f t="shared" ref="BI9:BI23" si="2">IF(OR(AND(N9="Sliding",X9="")), "Highlight","NoHighlight")</f>
        <v>NoHighlight</v>
      </c>
      <c r="BJ9" s="340" t="str">
        <f>IF(OR(AND(J9="89mm",G9="Fauxwood Eco"),AND(J9="89mm",G9="Fauxwood Eco Elite")),"FauxwoodRP","FauxwoodRPNo")</f>
        <v>FauxwoodRPNo</v>
      </c>
      <c r="BK9" s="156" t="str">
        <f>IF(SUM(--ISNUMBER( SEARCH({"t","T"},O9))),"Yes","No")</f>
        <v>No</v>
      </c>
      <c r="BL9" s="156" t="str">
        <f>IF(OR(AND(Y9&gt;0,Z9="")), "Error","OK")</f>
        <v>OK</v>
      </c>
      <c r="BM9" s="156" t="str">
        <f>IF(OR(AND(Y9&gt;1,AA9="")), "Error","OK")</f>
        <v>OK</v>
      </c>
      <c r="BN9" s="156" t="str">
        <f>IF(OR(AND(Y9&gt;2,AB9="")), "Error","OK")</f>
        <v>OK</v>
      </c>
      <c r="BO9" s="156" t="e">
        <f>IF(OR(AND(F9&gt;1,#REF!="L",#REF!="l"),AND(F9&gt;1,#REF!="R",#REF!="r"),AND(F9&gt;2,#REF!="LR",#REF!="lr")), "Error","OK")</f>
        <v>#REF!</v>
      </c>
      <c r="BP9" s="156" t="str">
        <f t="shared" ref="BP9:BP23" si="3">IF(OR(AND(J9="63mm",G9="Fauxwood"),AND(J9="89mm",G9="Fauxwood")),"FauxwoodAI","FauxwoodAINo")</f>
        <v>FauxwoodAINo</v>
      </c>
      <c r="BQ9" s="156" t="str">
        <f>IF(SUM(--ISNUMBER(SEARCH({"combo","Combo","COMBO"}, B26))),"Yes","No")</f>
        <v>No</v>
      </c>
      <c r="BR9" s="156" t="str">
        <f>IF(OR(AND(BK9="Yes",BQ9="Yes")),"Yes","No")</f>
        <v>No</v>
      </c>
      <c r="BS9" s="156" t="str">
        <f>IF(SUM(--ISNUMBER( SEARCH({"c","C","b","B"},#REF!))),"Yes","No")</f>
        <v>No</v>
      </c>
      <c r="BT9" s="157">
        <f t="shared" ref="BT9:BT23" si="4">IF(D9="",0,IF(N9="Fixed","N/A",IF(N9="Sliding","N/A",IF(N9="Track Bi Fold","N/A",IF(N9="Pivot Hinged","N/A",IF(D9&lt;741,2,IF(D9&lt;1321,3,IF(D9&lt;1906,4,5)))*IF(F9&gt;0,F9,1))))))</f>
        <v>0</v>
      </c>
      <c r="BU9" s="169" t="str">
        <f>IF(N9=Data!$BI$3,Data!$DR$3,IF(N9=Data!$BI$4,Data!$DS$3,IF(N9=Data!$BI$5,Data!$DT$3,IF(N9=Data!$BI$6,Data!$DU$3,IF(N9=Data!$BI$7,Data!$DV$3, IF(N9=Data!$BI$8,Data!$DX$3, IF(N9=Data!$BI$9,Data!$DW$3, "")))))))</f>
        <v/>
      </c>
      <c r="BV9" s="169" t="str">
        <f>IF(N9=Data!$BI$3,Data!$DY$3,IF(N9=Data!$BI$4,Data!$DZ$3,IF(N9=Data!$BI$5,Data!$EA$3,IF(N9=Data!$BI$6,Data!$EB$3,IF(N9=Data!$BI$7,Data!$EC$3,IF(N9=Data!$BI$8,Data!$EE$3, IF(N9=Data!$BI$9,Data!$ED$3,"")))))))</f>
        <v/>
      </c>
      <c r="BW9" s="157">
        <f t="shared" ref="BW9:BW23" si="5">IF(D9="",0,IF(N9="Fixed","N/A",IF(N9="Sliding","N/A",IF(N9="Track Bi Fold","N/A",IF(N9="Pivot Hinged","N/A",IF(D9&lt;1220,2,IF(D9&lt;1981,3,IF(D9&lt;2438,4,5)))*IF(F9&gt;0,F9,1))))))</f>
        <v>0</v>
      </c>
      <c r="BX9" s="157">
        <f t="shared" ref="BX9:BX23" si="6">IF(N9="Double Hinged",F9,0)</f>
        <v>0</v>
      </c>
      <c r="BY9" s="169" t="e">
        <f>IF(C9/F9&gt;650,F9,0)</f>
        <v>#DIV/0!</v>
      </c>
      <c r="BZ9" s="330" t="b">
        <f>IF(G9=Data!$EU$2,Data!$ES$2,IF(G9=Data!$EU$3,Data!$ER$2, IF(G9=Data!$EU$5,Data!$ET$2, IF(G9=Data!$EU$4,Data!$EQ$2,IF(G9=Data!$EU$6,Data!$ER$2)))))</f>
        <v>0</v>
      </c>
      <c r="CA9" s="330" t="b">
        <f>IF(G9=Data!$EU$2,Data!$EW$2,IF(G9=Data!$EU$3,Data!$EX$2,IF(G9=Data!$EU$4,Data!$EY$2, IF(G9=Data!$EU$5,Data!$EY$2,IF(G9=Data!$EU$6,Data!$EX$2)))))</f>
        <v>0</v>
      </c>
      <c r="CB9" s="169" t="e">
        <f>VLOOKUP(M9,Data!$EJ$3:$EK$14,2,FALSE)</f>
        <v>#N/A</v>
      </c>
      <c r="CC9" s="169" t="str">
        <f>IF(J9="114mm",VLOOKUP(H9,Data!$FA$2:$FB$18,2,FALSE),"OK")</f>
        <v>OK</v>
      </c>
      <c r="CD9" s="169" t="e">
        <f t="shared" ref="CD9:CD23" si="7">IF(OR(AND(BB9&gt;800,G9="Fauxwood",J9="63mm"),AND(BB9&gt;900,G9="Fauxwood",J9="89mm")), "Yes","No")</f>
        <v>#DIV/0!</v>
      </c>
      <c r="CE9" s="169" t="str">
        <f>IF(OR(AND(R9="",P9&lt;&gt;"")),VLOOKUP(P9,Data!$FC$2:$FD$18,2,FALSE),"")</f>
        <v/>
      </c>
      <c r="CF9" s="169" t="str">
        <f>IF(N9=Data!$BI$3,Data!$FJ$1,IF(N9=Data!$BI$4,Data!$FK$1,IF(N9=Data!$BI$5,Data!$FL$1,IF(N9=Data!$BI$6,Data!$FM$1,IF(N9=Data!$BI$7,Data!$FN$1, IF(N9=Data!$BI$8,Data!$FO$1, IF(N9=Data!$BI$9,Data!$FI$1, "")))))))</f>
        <v/>
      </c>
      <c r="CG9" s="169" t="str">
        <f>IF(SUM(--ISNUMBER(SEARCH({"z","Z"}, P9))),"Yes","No")</f>
        <v>No</v>
      </c>
      <c r="CH9" s="169" t="str">
        <f t="shared" ref="CH9:CH23" si="8">IF(OR(AND(E9="OUT",CG9="Yes")), "Error","OK")</f>
        <v>OK</v>
      </c>
      <c r="CI9" s="169">
        <f>LEN(O9)</f>
        <v>0</v>
      </c>
      <c r="CJ9" s="169" t="e">
        <f>VLOOKUP(O9,Data!$DO$4:$DP$156,2,FALSE)</f>
        <v>#N/A</v>
      </c>
      <c r="CK9" s="169" t="e">
        <f t="shared" ref="CK9:CK23" si="9">IF(F9&lt;&gt;CJ9,"Failed","Passed")</f>
        <v>#N/A</v>
      </c>
      <c r="CL9" s="157"/>
      <c r="CM9" s="157" t="s">
        <v>659</v>
      </c>
      <c r="CN9" s="157" t="str">
        <f>IF(COUNTIF(M9:M23,Data!EJ4),Data!EL4,"")</f>
        <v/>
      </c>
      <c r="CO9" s="344" t="str">
        <f>IF(AND(OR(G9="Fauxwood Eco", G9="Fauxwood Night", G9="Fauxwood Eco Elite", G9="Fauxwood Eco Air", N9="Hinged",N9="Track Bi Fold")), "Error","OK")</f>
        <v>OK</v>
      </c>
      <c r="CP9" s="169" t="b">
        <f>IF(N9="Hinged",50,IF(N9="Double Hinged",50,IF(N9="Track Bi Fold",0,IF(N9="Sliding",40,IF(N9="Fixed",0, IF(N9="Pivot Hinged",0))))))</f>
        <v>0</v>
      </c>
      <c r="CQ9" s="169">
        <f>IF(E9="IN",1,IF(E9="OUT",1,0))</f>
        <v>0</v>
      </c>
      <c r="CR9" s="169">
        <f>IF(P9="No Frame",0,IF(P9="Hanging Strip",0,1))</f>
        <v>1</v>
      </c>
      <c r="CS9" s="169">
        <f>CP9*CQ9*CR9</f>
        <v>0</v>
      </c>
      <c r="CT9" s="157" t="e">
        <f>IF(E9="MS",C9,IF(EL9=$EL$7,(C9-CS9)/EM9,(C9-CS9)/F9))</f>
        <v>#DIV/0!</v>
      </c>
      <c r="CU9" s="169" t="b">
        <f>IF(H9=Data!$BD$3,Data!$HC$2,IF(H9=Data!$BD$4,Data!$HM$2,IF(H9=Data!$BD$5,Data!$HF$2,IF(H9=Data!$BD$6,Data!$HB$2,IF(H9=Data!$BD$7,Data!$HD$2,IF(H9=Data!$BD$8,Data!$HJ$2,IF(H9=Data!$BD$9,Data!$HN$2,IF(H9=Data!$BD$10,Data!$HA$2,IF(H9=Data!$BD$11,Data!$HI$2)))))))))</f>
        <v>0</v>
      </c>
      <c r="CV9" s="276" t="b">
        <f>IF(H9=Data!$BE$3,Data!$HQ$2, IF(H9=Data!$BE$4,Data!$HP$2, IF(H9=Data!$BE$5,Data!$HR$2, IF(H9=Data!$BE$6,Data!$HO$2))))</f>
        <v>0</v>
      </c>
      <c r="CW9" s="330" t="b">
        <f>IF(H9=Data!$BH$3,Data!$HU$2, IF(H9=Data!$BH$4,Data!$HT$2, IF(H9=Data!$BH$5,Data!$HS$2)))</f>
        <v>0</v>
      </c>
      <c r="CX9" s="330" t="b">
        <f>IF(H9=Data!$BF$3,Data!$HQ$16, IF(H9=Data!$BF$4,Data!$HP$16, IF(H9=Data!$BF$5,Data!$HR$16, IF(H9=Data!$BF$6,Data!$HO$16))))</f>
        <v>0</v>
      </c>
      <c r="CY9" s="330" t="b">
        <f>IF(G9=Data!$BC$3,Shutters!CU9,IF(G9=Data!$BC$4,Shutters!CV9,IF(G9=Data!$BC$6,Shutters!CW9, IF(G9=Data!$BC$5, Shutters!CX9,IF(G9=Data!$BC$7,Shutters!CV9)))))</f>
        <v>0</v>
      </c>
      <c r="CZ9" s="157" t="e">
        <f>IF(OR(AND(L9&gt;0,#REF!="")), "Error","OK")</f>
        <v>#REF!</v>
      </c>
      <c r="DA9" s="169" t="e">
        <f>IF(COUNTIF(#REF!,Data!$CX$6),"Yes","")</f>
        <v>#REF!</v>
      </c>
      <c r="DB9" s="54" t="str">
        <f>IF(AND(OR(G9="Fauxwood"),AND(K9="Yes")), "Yes","")</f>
        <v/>
      </c>
      <c r="DC9" s="54" t="str">
        <f>IF($CN$9=Data!$EL$4,"Yes",IF(Shutters!$CN$10=Data!$EL$5,"Yes",IF(Shutters!$CN$11=Data!$EL$6,"Yes",IF(Shutters!$CN$12=Data!$EL$8,"Yes",""))))</f>
        <v/>
      </c>
      <c r="DD9" s="54" t="str">
        <f>IF(COUNTIF(DA9:DC23,Data!IZ3),"Yes","")</f>
        <v/>
      </c>
      <c r="DE9" s="54" t="str">
        <f>IF(N9=Data!$BI$5,"Yes",IF(N9=Data!$BI$6,"Yes","No"))</f>
        <v>No</v>
      </c>
      <c r="DF9" s="65" t="b">
        <f>IF(N9=Data!$BI$3,Data!$JB$2,IF(N9=Data!$BI$4,Data!$JC$2,IF(N9=Data!$BI$5,Data!$JD$2,IF(N9=Data!$BI$6,Data!$JE$2,IF(N9=Data!$BI$7,Data!$JF$2, IF(N9=Data!$BI$8,Data!$JA$2, IF(N9=Data!$BI$9,Data!$JG$2)))))))</f>
        <v>0</v>
      </c>
      <c r="DI9" s="65" t="e">
        <f>VLOOKUP(O9,Data!$DO$4:$DQ$156,3,FALSE)</f>
        <v>#N/A</v>
      </c>
      <c r="DJ9" s="54" t="e">
        <f t="shared" ref="DJ9:DJ23" si="10">Y9-DI9</f>
        <v>#N/A</v>
      </c>
      <c r="DK9" s="54" t="e">
        <f>IF(DJ9=0,"OK", "Layout Code &amp; T Post Quantity Issue")</f>
        <v>#N/A</v>
      </c>
      <c r="DL9" s="54" t="b">
        <f>IF(P9=Data!$BK$3,Data!$JH$2,IF(P9=Data!$BK$4,Data!$JI$2,IF(P9=Data!$BK$5,Data!$JJ$2,IF(P9=Data!$BK$6,Data!$JK$2,IF(P9=Data!$BK$7,Data!$JL$2,IF(P9=Data!$BK$8,Data!$JM$2,IF(P9=Data!$BK$9,Data!$JN$2,IF(P9=Data!$BK$10,Data!$JO$2,IF(P9=Data!$BK$11,Data!$JP$2,IF(P9=Data!$BK$12,Data!$JQ$2,IF(P9=Data!$BK$13,Data!$JR$2,IF(P9=Data!$BK$14,Data!$JS$2,IF(P9=Data!$BK$15,Data!$JT$2,IF(P9=Data!$BK$16,Data!$JU$2,IF(P9=Data!$BK$17,Data!$JV$2,IF(P9=Data!$BK$18,Data!$JW$2, IF(P9=Data!$BK$19,Data!$JX$2, IF(P9=Data!$BK$20,Data!$JY$2))))))))))))))))))</f>
        <v>0</v>
      </c>
      <c r="DN9" s="169" t="str">
        <f>IF(COUNTIF(BL9:BN9,$DN$7),"Required","")</f>
        <v/>
      </c>
      <c r="DO9" s="169" t="e">
        <f>IF(OR(AND(DK9="Layout Code &amp; T Post Quantity Issue"), AND(DN9="Required")),"Yes","No")</f>
        <v>#N/A</v>
      </c>
      <c r="DP9" s="169" t="str">
        <f>IF(OR(AND(AA9="",Y9=2)), "Error","OK")</f>
        <v>OK</v>
      </c>
      <c r="DQ9" s="169" t="str">
        <f>IF(OR(AND(Z9&lt;&gt;"",Y9&lt;1)), "Error","OK")</f>
        <v>OK</v>
      </c>
      <c r="DR9" s="169" t="str">
        <f>IF(OR(AND(AA9&lt;&gt;"",Y9&lt;2)), "Error","OK")</f>
        <v>OK</v>
      </c>
      <c r="DS9" s="169" t="str">
        <f>IF(OR(AND(AB9&lt;&gt;"",Y9&lt;3)), "Error","OK")</f>
        <v>OK</v>
      </c>
      <c r="DT9" s="65" t="b">
        <f>IF(N9=Data!$LW$2,Data!$LX$1,IF(N9=Data!$LW$3,Data!$LY$1,IF(N9=Data!$LW$4,Data!$LZ$1,IF(N9=Data!$LW$5,Data!$MA$1,IF(N9=Data!$LW$6,Data!$MB$1,IF(N9=Data!$LW$7,Data!$MC$1, IF(N9=Data!$LW$8,Data!$MX$1)))))))</f>
        <v>0</v>
      </c>
      <c r="DU9" s="65" t="b">
        <f>IF(E9=Data!$MD$2,Data!$ME$2, IF(E9=Data!$MD$3,Data!$MF$2, IF(E9=Data!$MD$4,Data!$MG$2)))</f>
        <v>0</v>
      </c>
      <c r="DV9" s="54" t="str">
        <f>IF(E9="MS", Data!$AK$1, Data!$EJ$2)</f>
        <v>Special_Window</v>
      </c>
      <c r="DW9" s="65" t="str">
        <f>IF(OR(AND(S9="",P9&lt;&gt;"")),VLOOKUP(P9,Data!$FC$2:$FD$18,2,FALSE),"")</f>
        <v/>
      </c>
      <c r="DX9" s="65" t="str">
        <f>IF(OR(AND(T9="",P9&lt;&gt;"")),VLOOKUP(P9,Data!$FC$2:$FD$18,2,FALSE),"")</f>
        <v/>
      </c>
      <c r="DY9" s="65" t="str">
        <f>IF(OR(AND(U9="",P9&lt;&gt;"")),VLOOKUP(P9,Data!$FC$2:$FD$18,2,FALSE),"")</f>
        <v/>
      </c>
      <c r="DZ9" s="157" t="e">
        <f>VLOOKUP(N9,Data!$MK$2:$ML$8,2,FALSE)</f>
        <v>#N/A</v>
      </c>
      <c r="EA9" s="65" t="e">
        <f>VLOOKUP(O9,Data!$DO$4:$DO$157,1,FALSE)</f>
        <v>#N/A</v>
      </c>
      <c r="EB9" s="65" t="e">
        <f>EXACT(O9,EA9)</f>
        <v>#N/A</v>
      </c>
      <c r="EC9" s="54" t="str">
        <f>IF(O9="","",IFERROR(EB9,"ERROR"))</f>
        <v/>
      </c>
      <c r="ED9" s="157" t="str">
        <f>IF(D9="","OK", D9)</f>
        <v>OK</v>
      </c>
      <c r="EE9" s="169" t="b">
        <f>IF(P9=Data!$NN$3,Data!$NO$2, IF(P9=Data!$NN$4,Data!$NP$2, IF(P9=Data!$NN$5,Data!$NQ$2, IF(P9=Data!$NN$6,Data!$NR$2, IF(P9=Data!$NN$7,Data!$NS$2, IF(P9=Data!$NN$8,Data!$NT$2, IF(P9=Data!$NN$9,Data!$NU$2, IF(P9=Data!$NN$10,Data!$NV$2, IF(P9=Data!$NN$11,Data!$NW$2, IF(P9=Data!$NN$12,Data!$NX$2, IF(P9=Data!$NN$13,Data!$NY$2, IF(P9=Data!$NN$14,Data!$NZ$2, IF(P9=Data!$NN$15,Data!$OA$2, IF(P9=Data!$NN$16,Data!$OB$2, IF(P9=Data!$NN$17,Data!$OC$2, IF(P9=Data!$NN$18,Data!$OD$2, IF(P9=Data!$NN$19,Data!$OE$2, IF(P9=Data!$NN$20,Data!$OG$2))))))))))))))))))</f>
        <v>0</v>
      </c>
      <c r="EF9" s="169" t="b">
        <f>IF(P9=Data!$NN$3,Data!$NO$15,IF(P9=Data!$NN$4,Data!$NP$15,IF(P9=Data!$NN$5,Data!$NQ$15,IF(P9=Data!$NN$6,Data!$NR$15,IF(P9=Data!$NN$7,Data!$NS$15,IF(P9=Data!$NN$8,Data!$NT$15,IF(P9=Data!$NN$9,Data!$NU$15,IF(P9=Data!$NN$10,Data!$NV$15,IF(P9=Data!$NN$11,Data!$NW$15,IF(P9=Data!$NN$12,Data!$NX$15,IF(P9=Data!$NN$13,Data!$NY$15,IF(P9=Data!$NN$14,Data!$NZ$15,IF(N9=Data!$NN$22,Data!$OA$15,IF(N9=Data!$NN$23,Data!$OB$15,IF(P9=Data!$NN$19,Data!$OC$15, IF(P9=Data!$NN$20,Data!$OG$15))))))))))))))))</f>
        <v>0</v>
      </c>
      <c r="EG9" s="330" t="e">
        <f>MATCH(G9, Data!$CW$10:$CW$14,0)</f>
        <v>#N/A</v>
      </c>
      <c r="EH9" s="169" t="e">
        <f>MATCH(J9,Data!$CX$9:$DA$9,0)</f>
        <v>#N/A</v>
      </c>
      <c r="EI9" s="334" t="e">
        <f>INDEX(Data!$CX$10:$DA$14,Shutters!EG9,Shutters!EH9)</f>
        <v>#N/A</v>
      </c>
      <c r="EJ9" s="169" t="str">
        <f>IF(SUM(--ISNUMBER(SEARCH({"combo","Combo","COMBO"}, B26))),"Yes","No")</f>
        <v>No</v>
      </c>
      <c r="EK9" s="169" t="str">
        <f>IF(SUM(--ISNUMBER(SEARCH({"combo","Combo","COMBO"}, F26))),"Yes","No")</f>
        <v>No</v>
      </c>
      <c r="EL9" s="169" t="str">
        <f>IF(COUNTIF(EJ9:EK9,$EL$7),"Yes","No")</f>
        <v>No</v>
      </c>
      <c r="EM9" s="157">
        <f>IF(EL9=$EL$7,F9*2,1)</f>
        <v>1</v>
      </c>
      <c r="EN9" s="157" t="e">
        <f>IF(E9="MS",C9, (C9-CS9)/F9)</f>
        <v>#DIV/0!</v>
      </c>
      <c r="EO9" s="169" t="str">
        <f>IF(G9="","",IF(OR(AND(G9="Fauxwood Eco",CT9&gt;650)),"Yes","No"))</f>
        <v/>
      </c>
      <c r="EP9" s="330" t="str">
        <f>IF(G9="","",IF(OR(AND(G9="Fauxwood Eco Air",CT9&gt;950)),"Yes","No"))</f>
        <v/>
      </c>
      <c r="EQ9" s="330" t="str">
        <f>IF(G9="","",IF(OR(AND(G9="Fauxwood Eco Elite",CT9&gt;650)),"Yes","No"))</f>
        <v/>
      </c>
      <c r="ER9" s="169" t="str">
        <f>IF(G9="","",IF(OR(AND(G9="Fauxwood Night",CT9&gt;650)),"Yes","No"))</f>
        <v/>
      </c>
      <c r="ES9" s="169" t="str">
        <f>IF(G9="","",IF(OR(AND(G9="Timber Eco",CT9&gt;950)),"Yes","No"))</f>
        <v/>
      </c>
      <c r="ET9" s="169" t="str">
        <f>IF(G9="","",IF(OR(AND(G9="Timber Eco",CT9&gt;750,EL9=$EL$7)),"Yes","No"))</f>
        <v/>
      </c>
      <c r="EU9" s="264" t="str">
        <f>IF(COUNTIF(EO9:ET9,$EL$7),"Yes","No")</f>
        <v>No</v>
      </c>
      <c r="EV9" s="330" t="e">
        <f>MATCH(G9,Data!$FH$18:$FL$18,0)</f>
        <v>#N/A</v>
      </c>
      <c r="EW9" s="169" t="e">
        <f>MATCH(N9,Data!$FG$19:$FG$25,0)</f>
        <v>#N/A</v>
      </c>
      <c r="EX9" s="330" t="e">
        <f>INDEX(Data!$FH$19:$FL$25,Shutters!EW9,Shutters!EV9)</f>
        <v>#N/A</v>
      </c>
    </row>
    <row r="10" spans="1:154" ht="36.75" customHeight="1">
      <c r="A10" s="51">
        <v>2</v>
      </c>
      <c r="B10" s="13"/>
      <c r="C10" s="14"/>
      <c r="D10" s="14"/>
      <c r="E10" s="10"/>
      <c r="F10" s="10"/>
      <c r="G10" s="13"/>
      <c r="H10" s="689"/>
      <c r="I10" s="763"/>
      <c r="J10" s="14"/>
      <c r="K10" s="144" t="str">
        <f t="shared" ref="K10:K23" si="11">IF(G10="","",EU10)</f>
        <v/>
      </c>
      <c r="L10" s="15"/>
      <c r="M10" s="15"/>
      <c r="N10" s="15"/>
      <c r="O10" s="15"/>
      <c r="P10" s="527"/>
      <c r="Q10" s="527"/>
      <c r="R10" s="13"/>
      <c r="S10" s="13"/>
      <c r="T10" s="13"/>
      <c r="U10" s="13"/>
      <c r="V10" s="15"/>
      <c r="W10" s="15"/>
      <c r="X10" s="16"/>
      <c r="Y10" s="16"/>
      <c r="Z10" s="14"/>
      <c r="AA10" s="14"/>
      <c r="AB10" s="14"/>
      <c r="AC10" s="18"/>
      <c r="AD10" s="164" t="str">
        <f t="shared" si="0"/>
        <v/>
      </c>
      <c r="AE10" s="229"/>
      <c r="AF10" s="230"/>
      <c r="AU10" s="108" t="str">
        <f t="shared" ref="AU10:AU23" si="12">IF(G10="Fauxwood Eco",BT10+BX10+BY10,IF(G10="Fauxwood Eco Air",BT10+BX10+BY10,IF(G10="Fauxwood Eco Elite",BT10+BX10+BY10, IF(G10="Fauxwood Night",BT10+BX10+BY10,IF(G10="Timber Eco",BW10+BX10+BY10,"")))))</f>
        <v/>
      </c>
      <c r="AV10" s="65" t="e">
        <f t="shared" ref="AV10:AV23" si="13">IF(OR(AND(W10="",DZ10="Yes")), "Yes","No")</f>
        <v>#N/A</v>
      </c>
      <c r="AW10" s="169" t="e">
        <f>VLOOKUP(P10,Data!$MI$2:$MJ$4,2,FALSE)</f>
        <v>#N/A</v>
      </c>
      <c r="AX10" s="169" t="e">
        <f t="shared" ref="AX10:AX23" si="14">IF(OR(AND(E10="IN",AW10="Yes")), "Yes","No")</f>
        <v>#N/A</v>
      </c>
      <c r="AY10" s="169" t="e">
        <f>VLOOKUP(N10,Data!$BI$24:$BJ$30,2,FALSE)</f>
        <v>#N/A</v>
      </c>
      <c r="AZ10" s="155" t="b">
        <f>IF(G10=Data!$BO$2,Data!$BS$2, IF(Shutters!G10=Data!$BP$2,Data!$BT$2, IF(Shutters!G10=Data!$BQ$2,Data!$BU$2)))</f>
        <v>0</v>
      </c>
      <c r="BA10" s="340" t="str">
        <f t="shared" ref="BA10:BA23" si="15">IF(OR(AND(D10&gt;1500,G10="Fauxwood Eco",L10=""), AND(D10&gt;1500,G10="Fauxwood Night",L10=""), AND(D10&gt;1500,G10="Fauxwood Eco Air",L10=""),AND(D10&gt;1500,G10="Fauxwood Eco Elite",L10=""), AND(D10&gt;1800,G10="Timber Eco",L10="")), "Yes","No")</f>
        <v>No</v>
      </c>
      <c r="BB10" s="155" t="e">
        <f t="shared" ref="BB10:BB23" si="16">IF(E10="MS",C10*1,C10/F10)</f>
        <v>#DIV/0!</v>
      </c>
      <c r="BC10" s="340" t="e">
        <f t="shared" ref="BC10:BC23" si="17">IF(OR(AND(BB10&gt;650,G10="Fauxwood Eco"), AND(BB10&gt;650,G10="Fauxwood Night"), AND(BB10&gt;650,G10="Fauxwood Eco Air"), AND(BB10&gt;650,G10="Fauxwood Eco Elite"), AND(BB10&gt;950,G10="Timber Eco")), "Yes","No")</f>
        <v>#DIV/0!</v>
      </c>
      <c r="BD10" s="155" t="e">
        <f t="shared" si="1"/>
        <v>#DIV/0!</v>
      </c>
      <c r="BE10" s="340" t="str">
        <f t="shared" ref="BE10:BE23" si="18">IF(OR(AND(D10&gt;2600,G10="Fauxwood Eco"),AND(D10&gt;2600,G10="Fauxwood Night"), AND(D10&gt;2600,G10="Fauxwood Eco Air"),AND(D10&gt;2600,G10="Fauxwood Eco Elite"),AND(D10&gt;3000,G10="Timber Eco")), "Yes","No")</f>
        <v>No</v>
      </c>
      <c r="BF10" s="155" t="str">
        <f t="shared" ref="BF10:BF23" si="19">IF(OR(AND(C10&gt;0,V10="")), "Required","NotRequired")</f>
        <v>NotRequired</v>
      </c>
      <c r="BG10" s="155" t="b">
        <f>IF(G10=Data!$BO$2,Data!$CM$2, IF(Shutters!G10=Data!$BP$2,Data!$CN$2, IF(Shutters!G10=Data!$BQ$2,Data!$CO$2)))</f>
        <v>0</v>
      </c>
      <c r="BH10" s="155" t="e">
        <f t="shared" ref="BH10:BH23" si="20">IF(OR(AND(AZ10="FauxwoodY",BC10="Yes")), "Highlight","NoHighlight")</f>
        <v>#DIV/0!</v>
      </c>
      <c r="BI10" s="156" t="str">
        <f t="shared" si="2"/>
        <v>NoHighlight</v>
      </c>
      <c r="BJ10" s="340" t="str">
        <f t="shared" ref="BJ10:BJ23" si="21">IF(OR(AND(J10="89mm",G10="Fauxwood Eco"),AND(J10="89mm",G10="Fauxwood Eco Elite")),"FauxwoodRP","FauxwoodRPNo")</f>
        <v>FauxwoodRPNo</v>
      </c>
      <c r="BK10" s="156" t="str">
        <f>IF(SUM(--ISNUMBER( SEARCH({"t","T"},O10))),"Yes","No")</f>
        <v>No</v>
      </c>
      <c r="BL10" s="156" t="str">
        <f t="shared" ref="BL10:BL23" si="22">IF(OR(AND(Y10&gt;0,Z10="")), "Error","OK")</f>
        <v>OK</v>
      </c>
      <c r="BM10" s="156" t="str">
        <f t="shared" ref="BM10:BM23" si="23">IF(OR(AND(Y10&gt;1,AA10="")), "Error","OK")</f>
        <v>OK</v>
      </c>
      <c r="BN10" s="156" t="str">
        <f t="shared" ref="BN10:BN23" si="24">IF(OR(AND(Y10&gt;2,AB10="")), "Error","OK")</f>
        <v>OK</v>
      </c>
      <c r="BO10" s="156" t="e">
        <f>IF(OR(AND(F10&gt;1,#REF!="L",#REF!="l"),AND(F10&gt;1,#REF!="R",#REF!="r"),AND(F10&gt;2,#REF!="LR",#REF!="lr")), "Error","OK")</f>
        <v>#REF!</v>
      </c>
      <c r="BP10" s="156" t="str">
        <f t="shared" si="3"/>
        <v>FauxwoodAINo</v>
      </c>
      <c r="BQ10" s="156" t="str">
        <f>IF(SUM(--ISNUMBER(SEARCH({"combo","Combo","COMBO"}, B27))),"Yes","No")</f>
        <v>No</v>
      </c>
      <c r="BR10" s="156" t="str">
        <f t="shared" ref="BR10:BR23" si="25">IF(OR(AND(BK10="Yes",BQ10="Yes")),"Yes","No")</f>
        <v>No</v>
      </c>
      <c r="BS10" s="156" t="str">
        <f>IF(SUM(--ISNUMBER( SEARCH({"c","C","b","B"},#REF!))),"Yes","No")</f>
        <v>No</v>
      </c>
      <c r="BT10" s="157">
        <f t="shared" si="4"/>
        <v>0</v>
      </c>
      <c r="BU10" s="169" t="str">
        <f>IF(N10=Data!$BI$3,Data!$DR$3,IF(N10=Data!$BI$4,Data!$DS$3,IF(N10=Data!$BI$5,Data!$DT$3,IF(N10=Data!$BI$6,Data!$DU$3,IF(N10=Data!$BI$7,Data!$DV$3, IF(N10=Data!$BI$8,Data!$DX$3, IF(N10=Data!$BI$9,Data!$DW$3, "")))))))</f>
        <v/>
      </c>
      <c r="BV10" s="169" t="str">
        <f>IF(N10=Data!$BI$3,Data!$DY$3,IF(N10=Data!$BI$4,Data!$DZ$3,IF(N10=Data!$BI$5,Data!$EA$3,IF(N10=Data!$BI$6,Data!$EB$3,IF(N10=Data!$BI$7,Data!$EC$3,IF(N10=Data!$BI$8,Data!$EE$3, IF(N10=Data!$BI$9,Data!$ED$3,"")))))))</f>
        <v/>
      </c>
      <c r="BW10" s="157">
        <f t="shared" si="5"/>
        <v>0</v>
      </c>
      <c r="BX10" s="157">
        <f t="shared" si="6"/>
        <v>0</v>
      </c>
      <c r="BY10" s="169" t="e">
        <f t="shared" ref="BY10:BY23" si="26">IF(C10/F10&gt;650,F10,0)</f>
        <v>#DIV/0!</v>
      </c>
      <c r="BZ10" s="330" t="b">
        <f>IF(G10=Data!$EU$2,Data!$ES$2,IF(G10=Data!$EU$3,Data!$ER$2, IF(G10=Data!$EU$5,Data!$ET$2, IF(G10=Data!$EU$4,Data!$EQ$2,IF(G10=Data!$EU$6,Data!$ER$2)))))</f>
        <v>0</v>
      </c>
      <c r="CA10" s="330" t="b">
        <f>IF(G10=Data!$EU$2,Data!$EW$2,IF(G10=Data!$EU$3,Data!$EX$2,IF(G10=Data!$EU$4,Data!$EY$2, IF(G10=Data!$EU$5,Data!$EY$2,IF(G10=Data!$EU$6,Data!$EX$2)))))</f>
        <v>0</v>
      </c>
      <c r="CB10" s="169" t="e">
        <f>VLOOKUP(M10,Data!$EJ$3:$EK$14,2,FALSE)</f>
        <v>#N/A</v>
      </c>
      <c r="CC10" s="169" t="str">
        <f>IF(J10="114mm",VLOOKUP(H10,Data!$FA$2:$FB$18,2,FALSE),"OK")</f>
        <v>OK</v>
      </c>
      <c r="CD10" s="169" t="e">
        <f t="shared" si="7"/>
        <v>#DIV/0!</v>
      </c>
      <c r="CE10" s="169" t="str">
        <f>IF(OR(AND(R10="",P10&lt;&gt;"")),VLOOKUP(P10,Data!$FC$2:$FD$18,2,FALSE),"")</f>
        <v/>
      </c>
      <c r="CF10" s="169" t="str">
        <f>IF(N10=Data!$BI$3,Data!$FJ$1,IF(N10=Data!$BI$4,Data!$FK$1,IF(N10=Data!$BI$5,Data!$FL$1,IF(N10=Data!$BI$6,Data!$FM$1,IF(N10=Data!$BI$7,Data!$FN$1, IF(N10=Data!$BI$8,Data!$FO$1, IF(N10=Data!$BI$9,Data!$FI$1, "")))))))</f>
        <v/>
      </c>
      <c r="CG10" s="169" t="str">
        <f>IF(SUM(--ISNUMBER(SEARCH({"z","Z"}, P10))),"Yes","No")</f>
        <v>No</v>
      </c>
      <c r="CH10" s="169" t="str">
        <f t="shared" si="8"/>
        <v>OK</v>
      </c>
      <c r="CI10" s="169">
        <f t="shared" ref="CI10:CI23" si="27">LEN(O10)</f>
        <v>0</v>
      </c>
      <c r="CJ10" s="169" t="e">
        <f>VLOOKUP(O10,Data!$DO$4:$DP$156,2,FALSE)</f>
        <v>#N/A</v>
      </c>
      <c r="CK10" s="169" t="e">
        <f t="shared" si="9"/>
        <v>#N/A</v>
      </c>
      <c r="CL10" s="157"/>
      <c r="CM10" s="157" t="s">
        <v>660</v>
      </c>
      <c r="CN10" s="157" t="str">
        <f>IF(COUNTIF(M9:M23,Data!EJ5),Data!EL5,"")</f>
        <v/>
      </c>
      <c r="CO10" s="344" t="str">
        <f t="shared" ref="CO10:CO23" si="28">IF(AND(OR(G10="Fauxwood Eco", G10="Fauxwood Night", G10="Fauxwood Eco Elite", G10="Fauxwood Eco Air", N10="Hinged",N10="Track Bi Fold")), "Error","OK")</f>
        <v>OK</v>
      </c>
      <c r="CP10" s="169" t="b">
        <f t="shared" ref="CP10:CP23" si="29">IF(N10="Hinged",50,IF(N10="Double Hinged",50,IF(N10="Track Bi Fold",0,IF(N10="Sliding",40,IF(N10="Fixed",0, IF(N10="Pivot Hinged",0))))))</f>
        <v>0</v>
      </c>
      <c r="CQ10" s="169">
        <f t="shared" ref="CQ10:CQ19" si="30">IF(E10="IN",1,IF(E10="OUT",1,0))</f>
        <v>0</v>
      </c>
      <c r="CR10" s="169">
        <f t="shared" ref="CR10:CR19" si="31">IF(P10="No Frame",0,IF(P10="Hanging Strip",0,1))</f>
        <v>1</v>
      </c>
      <c r="CS10" s="169">
        <f t="shared" ref="CS10:CS19" si="32">CP10*CQ10*CR10</f>
        <v>0</v>
      </c>
      <c r="CT10" s="157" t="e">
        <f t="shared" ref="CT10:CT23" si="33">IF(E10="MS",C10,IF(EL10=$EL$7,(C10-CS10)/EM10,(C10-CS10)/F10))</f>
        <v>#DIV/0!</v>
      </c>
      <c r="CU10" s="169" t="b">
        <f>IF(H10=Data!$BD$3,Data!$HC$2,IF(H10=Data!$BD$4,Data!$HM$2,IF(H10=Data!$BD$5,Data!$HF$2,IF(H10=Data!$BD$6,Data!$HB$2,IF(H10=Data!$BD$7,Data!$HD$2,IF(H10=Data!$BD$8,Data!$HJ$2,IF(H10=Data!$BD$9,Data!$HN$2,IF(H10=Data!$BD$10,Data!$HA$2,IF(H10=Data!$BD$11,Data!$HI$2)))))))))</f>
        <v>0</v>
      </c>
      <c r="CV10" s="276" t="b">
        <f>IF(H10=Data!$BE$3,Data!$HQ$2, IF(H10=Data!$BE$4,Data!$HP$2, IF(H10=Data!$BE$5,Data!$HR$2, IF(H10=Data!$BE$6,Data!$HO$2))))</f>
        <v>0</v>
      </c>
      <c r="CW10" s="330" t="b">
        <f>IF(H10=Data!$BH$3,Data!$HU$2, IF(H10=Data!$BH$4,Data!$HT$2, IF(H10=Data!$BH$5,Data!$HS$2)))</f>
        <v>0</v>
      </c>
      <c r="CX10" s="330" t="b">
        <f>IF(H10=Data!$BF$3,Data!$HQ$16, IF(H10=Data!$BF$4,Data!$HP$16, IF(H10=Data!$BF$5,Data!$HR$16, IF(H10=Data!$BF$6,Data!$HO$16))))</f>
        <v>0</v>
      </c>
      <c r="CY10" s="330" t="b">
        <f>IF(G10=Data!$BC$3,Shutters!CU10,IF(G10=Data!$BC$4,Shutters!CV10,IF(G10=Data!$BC$6,Shutters!CW10, IF(G10=Data!$BC$5, Shutters!CX10,IF(G10=Data!$BC$7,Shutters!CV10)))))</f>
        <v>0</v>
      </c>
      <c r="CZ10" s="157" t="e">
        <f>IF(OR(AND(L10&gt;0,#REF!="")), "Error","OK")</f>
        <v>#REF!</v>
      </c>
      <c r="DA10" s="169" t="e">
        <f>IF(COUNTIF(#REF!,Data!$CX$6),"Yes","")</f>
        <v>#REF!</v>
      </c>
      <c r="DB10" s="54" t="str">
        <f t="shared" ref="DB10:DB23" si="34">IF(AND(OR(G10="Fauxwood"),AND(K10="Yes")), "Yes","")</f>
        <v/>
      </c>
      <c r="DE10" s="54" t="str">
        <f>IF(N10=Data!$BI$5,"Yes",IF(N10=Data!$BI$6,"Yes","No"))</f>
        <v>No</v>
      </c>
      <c r="DF10" s="65" t="b">
        <f>IF(N10=Data!$BI$3,Data!$JB$2,IF(N10=Data!$BI$4,Data!$JC$2,IF(N10=Data!$BI$5,Data!$JD$2,IF(N10=Data!$BI$6,Data!$JE$2,IF(N10=Data!$BI$7,Data!$JF$2, IF(N10=Data!$BI$8,Data!$JA$2, IF(N10=Data!$BI$9,Data!$JG$2)))))))</f>
        <v>0</v>
      </c>
      <c r="DI10" s="65" t="e">
        <f>VLOOKUP(O10,Data!$DO$4:$DQ$156,3,FALSE)</f>
        <v>#N/A</v>
      </c>
      <c r="DJ10" s="54" t="e">
        <f t="shared" si="10"/>
        <v>#N/A</v>
      </c>
      <c r="DK10" s="54" t="e">
        <f t="shared" ref="DK10:DK22" si="35">IF(DJ10=0,"OK", "Layout Code &amp; T Post Quantity Issue")</f>
        <v>#N/A</v>
      </c>
      <c r="DL10" s="54" t="b">
        <f>IF(P10=Data!$BK$3,Data!$JH$2,IF(P10=Data!$BK$4,Data!$JI$2,IF(P10=Data!$BK$5,Data!$JJ$2,IF(P10=Data!$BK$6,Data!$JK$2,IF(P10=Data!$BK$7,Data!$JL$2,IF(P10=Data!$BK$8,Data!$JM$2,IF(P10=Data!$BK$9,Data!$JN$2,IF(P10=Data!$BK$10,Data!$JO$2,IF(P10=Data!$BK$11,Data!$JP$2,IF(P10=Data!$BK$12,Data!$JQ$2,IF(P10=Data!$BK$13,Data!$JR$2,IF(P10=Data!$BK$14,Data!$JS$2,IF(P10=Data!$BK$15,Data!$JT$2,IF(P10=Data!$BK$16,Data!$JU$2,IF(P10=Data!$BK$17,Data!$JV$2,IF(P10=Data!$BK$18,Data!$JW$2, IF(P10=Data!$BK$19,Data!$JX$2, IF(P10=Data!$BK$20,Data!$JY$2))))))))))))))))))</f>
        <v>0</v>
      </c>
      <c r="DN10" s="169" t="str">
        <f t="shared" ref="DN10:DN23" si="36">IF(COUNTIF(BL10:BN10,$DN$7),"Required","")</f>
        <v/>
      </c>
      <c r="DO10" s="169" t="e">
        <f t="shared" ref="DO10:DO23" si="37">IF(OR(AND(DK10="Layout Code &amp; T Post Quantity Issue"), AND(DN10="Required")),"Yes","No")</f>
        <v>#N/A</v>
      </c>
      <c r="DP10" s="169" t="str">
        <f t="shared" ref="DP10:DP23" si="38">IF(OR(AND(AA10="",Y10=2)), "Error","OK")</f>
        <v>OK</v>
      </c>
      <c r="DQ10" s="169" t="str">
        <f t="shared" ref="DQ10:DQ23" si="39">IF(OR(AND(Z10&lt;&gt;"",Y10&lt;1)), "Error","OK")</f>
        <v>OK</v>
      </c>
      <c r="DR10" s="169" t="str">
        <f t="shared" ref="DR10:DR23" si="40">IF(OR(AND(AA10&lt;&gt;"",Y10&lt;2)), "Error","OK")</f>
        <v>OK</v>
      </c>
      <c r="DS10" s="169" t="str">
        <f t="shared" ref="DS10:DS23" si="41">IF(OR(AND(AB10&lt;&gt;"",Y10&lt;3)), "Error","OK")</f>
        <v>OK</v>
      </c>
      <c r="DT10" s="65" t="b">
        <f>IF(N10=Data!$LW$2,Data!$LX$1,IF(N10=Data!$LW$3,Data!$LY$1,IF(N10=Data!$LW$4,Data!$LZ$1,IF(N10=Data!$LW$5,Data!$MA$1,IF(N10=Data!$LW$6,Data!$MB$1,IF(N10=Data!$LW$7,Data!$MC$1, IF(N10=Data!$LW$8,Data!$MX$1)))))))</f>
        <v>0</v>
      </c>
      <c r="DU10" s="65" t="b">
        <f>IF(E10=Data!$MD$2,Data!$ME$2, IF(E10=Data!$MD$3,Data!$MF$2, IF(E10=Data!$MD$4,Data!$MG$2)))</f>
        <v>0</v>
      </c>
      <c r="DV10" s="54" t="str">
        <f>IF(E10="MS", Data!$AK$1, Data!$EJ$2)</f>
        <v>Special_Window</v>
      </c>
      <c r="DW10" s="65" t="str">
        <f>IF(OR(AND(S10="",P10&lt;&gt;"")),VLOOKUP(P10,Data!$FC$2:$FD$18,2,FALSE),"")</f>
        <v/>
      </c>
      <c r="DX10" s="65" t="str">
        <f>IF(OR(AND(T10="",P10&lt;&gt;"")),VLOOKUP(P10,Data!$FC$2:$FD$18,2,FALSE),"")</f>
        <v/>
      </c>
      <c r="DY10" s="65" t="str">
        <f>IF(OR(AND(U10="",P10&lt;&gt;"")),VLOOKUP(P10,Data!$FC$2:$FD$18,2,FALSE),"")</f>
        <v/>
      </c>
      <c r="DZ10" s="157" t="e">
        <f>VLOOKUP(N10,Data!$MK$2:$ML$8,2,FALSE)</f>
        <v>#N/A</v>
      </c>
      <c r="EA10" s="65" t="e">
        <f>VLOOKUP(O10,Data!$DO$4:$DO$157,1,FALSE)</f>
        <v>#N/A</v>
      </c>
      <c r="EB10" s="65" t="e">
        <f t="shared" ref="EB10:EB23" si="42">EXACT(O10,EA10)</f>
        <v>#N/A</v>
      </c>
      <c r="EC10" s="54" t="str">
        <f t="shared" ref="EC10:EC23" si="43">IF(O10="","",IFERROR(EB10,"ERROR"))</f>
        <v/>
      </c>
      <c r="ED10" s="157" t="str">
        <f t="shared" ref="ED10:ED23" si="44">IF(D10="","OK", D10)</f>
        <v>OK</v>
      </c>
      <c r="EE10" s="169" t="b">
        <f>IF(P10=Data!$NN$3,Data!$NO$2, IF(P10=Data!$NN$4,Data!$NP$2, IF(P10=Data!$NN$5,Data!$NQ$2, IF(P10=Data!$NN$6,Data!$NR$2, IF(P10=Data!$NN$7,Data!$NS$2, IF(P10=Data!$NN$8,Data!$NT$2, IF(P10=Data!$NN$9,Data!$NU$2, IF(P10=Data!$NN$10,Data!$NV$2, IF(P10=Data!$NN$11,Data!$NW$2, IF(P10=Data!$NN$12,Data!$NX$2, IF(P10=Data!$NN$13,Data!$NY$2, IF(P10=Data!$NN$14,Data!$NZ$2, IF(P10=Data!$NN$15,Data!$OA$2, IF(P10=Data!$NN$16,Data!$OB$2, IF(P10=Data!$NN$17,Data!$OC$2, IF(P10=Data!$NN$18,Data!$OD$2, IF(P10=Data!$NN$19,Data!$OE$2, IF(P10=Data!$NN$20,Data!$OG$2))))))))))))))))))</f>
        <v>0</v>
      </c>
      <c r="EF10" s="169" t="b">
        <f>IF(P10=Data!$NN$3,Data!$NO$15,IF(P10=Data!$NN$4,Data!$NP$15,IF(P10=Data!$NN$5,Data!$NQ$15,IF(P10=Data!$NN$6,Data!$NR$15,IF(P10=Data!$NN$7,Data!$NS$15,IF(P10=Data!$NN$8,Data!$NT$15,IF(P10=Data!$NN$9,Data!$NU$15,IF(P10=Data!$NN$10,Data!$NV$15,IF(P10=Data!$NN$11,Data!$NW$15,IF(P10=Data!$NN$12,Data!$NX$15,IF(P10=Data!$NN$13,Data!$NY$15,IF(P10=Data!$NN$14,Data!$NZ$15,IF(N10=Data!$NN$22,Data!$OA$15,IF(N10=Data!$NN$23,Data!$OB$15,IF(P10=Data!$NN$19,Data!$OC$15, IF(P10=Data!$NN$20,Data!$OG$15))))))))))))))))</f>
        <v>0</v>
      </c>
      <c r="EG10" s="330" t="e">
        <f>MATCH(G10, Data!$CW$10:$CW$14,0)</f>
        <v>#N/A</v>
      </c>
      <c r="EH10" s="169" t="e">
        <f>MATCH(J10,Data!$CX$9:$DA$9,0)</f>
        <v>#N/A</v>
      </c>
      <c r="EI10" s="334" t="e">
        <f>INDEX(Data!$CX$10:$DA$14,Shutters!EG10,Shutters!EH10)</f>
        <v>#N/A</v>
      </c>
      <c r="EJ10" s="169" t="str">
        <f>IF(SUM(--ISNUMBER(SEARCH({"combo","Combo","COMBO"}, B27))),"Yes","No")</f>
        <v>No</v>
      </c>
      <c r="EK10" s="169" t="str">
        <f>IF(SUM(--ISNUMBER(SEARCH({"combo","Combo","COMBO"}, F27))),"Yes","No")</f>
        <v>No</v>
      </c>
      <c r="EL10" s="169" t="str">
        <f t="shared" ref="EL10:EL23" si="45">IF(COUNTIF(EJ10:EK10,$EL$7),"Yes","No")</f>
        <v>No</v>
      </c>
      <c r="EM10" s="157">
        <f t="shared" ref="EM10:EM23" si="46">IF(EL10=$EL$7,F10*2,1)</f>
        <v>1</v>
      </c>
      <c r="EN10" s="157" t="e">
        <f t="shared" ref="EN10:EN23" si="47">IF(E10="MS",C10, (C10-CS10)/F10)</f>
        <v>#DIV/0!</v>
      </c>
      <c r="EO10" s="169" t="str">
        <f t="shared" ref="EO10:EO23" si="48">IF(G10="","",IF(OR(AND(G10="Fauxwood Eco",CT10&gt;650)),"Yes","No"))</f>
        <v/>
      </c>
      <c r="EP10" s="330" t="str">
        <f t="shared" ref="EP10:EP23" si="49">IF(G10="","",IF(OR(AND(G10="Fauxwood Eco Air",CT10&gt;950)),"Yes","No"))</f>
        <v/>
      </c>
      <c r="EQ10" s="330" t="str">
        <f t="shared" ref="EQ10:EQ23" si="50">IF(G10="","",IF(OR(AND(G10="Fauxwood Eco Elite",CT10&gt;650)),"Yes","No"))</f>
        <v/>
      </c>
      <c r="ER10" s="169" t="str">
        <f t="shared" ref="ER10:ER23" si="51">IF(G10="","",IF(OR(AND(G10="Fauxwood Night",CT10&gt;650)),"Yes","No"))</f>
        <v/>
      </c>
      <c r="ES10" s="169" t="str">
        <f t="shared" ref="ES10:ES23" si="52">IF(G10="","",IF(OR(AND(G10="Timber Eco",CT10&gt;950)),"Yes","No"))</f>
        <v/>
      </c>
      <c r="ET10" s="169" t="str">
        <f t="shared" ref="ET10:ET23" si="53">IF(G10="","",IF(OR(AND(G10="Timber Eco",CT10&gt;750,EL10=$EL$7)),"Yes","No"))</f>
        <v/>
      </c>
      <c r="EU10" s="264" t="str">
        <f t="shared" ref="EU10:EU23" si="54">IF(COUNTIF(EO10:ET10,$EL$7),"Yes","No")</f>
        <v>No</v>
      </c>
      <c r="EV10" s="330" t="e">
        <f>MATCH(G10,Data!$FH$18:$FL$18,0)</f>
        <v>#N/A</v>
      </c>
      <c r="EW10" s="169" t="e">
        <f>MATCH(N10,Data!$FG$19:$FG$25,0)</f>
        <v>#N/A</v>
      </c>
      <c r="EX10" s="330" t="e">
        <f>INDEX(Data!$FH$19:$FL$25,Shutters!EW10,Shutters!EV10)</f>
        <v>#N/A</v>
      </c>
    </row>
    <row r="11" spans="1:154" ht="36.75" customHeight="1">
      <c r="A11" s="52">
        <v>3</v>
      </c>
      <c r="B11" s="17"/>
      <c r="C11" s="14"/>
      <c r="D11" s="14"/>
      <c r="E11" s="10"/>
      <c r="F11" s="10"/>
      <c r="G11" s="13"/>
      <c r="H11" s="689"/>
      <c r="I11" s="763"/>
      <c r="J11" s="14"/>
      <c r="K11" s="144" t="str">
        <f t="shared" si="11"/>
        <v/>
      </c>
      <c r="L11" s="15"/>
      <c r="M11" s="15"/>
      <c r="N11" s="15"/>
      <c r="O11" s="15"/>
      <c r="P11" s="527"/>
      <c r="Q11" s="527"/>
      <c r="R11" s="13"/>
      <c r="S11" s="13"/>
      <c r="T11" s="13"/>
      <c r="U11" s="13"/>
      <c r="V11" s="15"/>
      <c r="W11" s="15"/>
      <c r="X11" s="16"/>
      <c r="Y11" s="16"/>
      <c r="Z11" s="14"/>
      <c r="AA11" s="14"/>
      <c r="AB11" s="14"/>
      <c r="AC11" s="18"/>
      <c r="AD11" s="164" t="str">
        <f t="shared" si="0"/>
        <v/>
      </c>
      <c r="AE11" s="229"/>
      <c r="AF11" s="230"/>
      <c r="AU11" s="108" t="str">
        <f t="shared" si="12"/>
        <v/>
      </c>
      <c r="AV11" s="65" t="e">
        <f t="shared" si="13"/>
        <v>#N/A</v>
      </c>
      <c r="AW11" s="169" t="e">
        <f>VLOOKUP(P11,Data!$MI$2:$MJ$4,2,FALSE)</f>
        <v>#N/A</v>
      </c>
      <c r="AX11" s="169" t="e">
        <f t="shared" si="14"/>
        <v>#N/A</v>
      </c>
      <c r="AY11" s="169" t="e">
        <f>VLOOKUP(N11,Data!$BI$24:$BJ$30,2,FALSE)</f>
        <v>#N/A</v>
      </c>
      <c r="AZ11" s="155" t="b">
        <f>IF(G11=Data!$BO$2,Data!$BS$2, IF(Shutters!G11=Data!$BP$2,Data!$BT$2, IF(Shutters!G11=Data!$BQ$2,Data!$BU$2)))</f>
        <v>0</v>
      </c>
      <c r="BA11" s="340" t="str">
        <f t="shared" si="15"/>
        <v>No</v>
      </c>
      <c r="BB11" s="155" t="e">
        <f t="shared" si="16"/>
        <v>#DIV/0!</v>
      </c>
      <c r="BC11" s="340" t="e">
        <f t="shared" si="17"/>
        <v>#DIV/0!</v>
      </c>
      <c r="BD11" s="155" t="e">
        <f t="shared" si="1"/>
        <v>#DIV/0!</v>
      </c>
      <c r="BE11" s="340" t="str">
        <f t="shared" si="18"/>
        <v>No</v>
      </c>
      <c r="BF11" s="155" t="str">
        <f t="shared" si="19"/>
        <v>NotRequired</v>
      </c>
      <c r="BG11" s="155" t="b">
        <f>IF(G11=Data!$BO$2,Data!$CM$2, IF(Shutters!G11=Data!$BP$2,Data!$CN$2, IF(Shutters!G11=Data!$BQ$2,Data!$CO$2)))</f>
        <v>0</v>
      </c>
      <c r="BH11" s="155" t="e">
        <f t="shared" si="20"/>
        <v>#DIV/0!</v>
      </c>
      <c r="BI11" s="156" t="str">
        <f t="shared" si="2"/>
        <v>NoHighlight</v>
      </c>
      <c r="BJ11" s="340" t="str">
        <f t="shared" si="21"/>
        <v>FauxwoodRPNo</v>
      </c>
      <c r="BK11" s="156" t="str">
        <f>IF(SUM(--ISNUMBER( SEARCH({"t","T"},O11))),"Yes","No")</f>
        <v>No</v>
      </c>
      <c r="BL11" s="156" t="str">
        <f t="shared" si="22"/>
        <v>OK</v>
      </c>
      <c r="BM11" s="156" t="str">
        <f t="shared" si="23"/>
        <v>OK</v>
      </c>
      <c r="BN11" s="156" t="str">
        <f t="shared" si="24"/>
        <v>OK</v>
      </c>
      <c r="BO11" s="156" t="e">
        <f>IF(OR(AND(F11&gt;1,#REF!="L",#REF!="l"),AND(F11&gt;1,#REF!="R",#REF!="r"),AND(F11&gt;2,#REF!="LR",#REF!="lr")), "Error","OK")</f>
        <v>#REF!</v>
      </c>
      <c r="BP11" s="156" t="str">
        <f t="shared" si="3"/>
        <v>FauxwoodAINo</v>
      </c>
      <c r="BQ11" s="156" t="str">
        <f>IF(SUM(--ISNUMBER(SEARCH({"combo","Combo","COMBO"}, B28))),"Yes","No")</f>
        <v>No</v>
      </c>
      <c r="BR11" s="156" t="str">
        <f t="shared" si="25"/>
        <v>No</v>
      </c>
      <c r="BS11" s="156" t="str">
        <f>IF(SUM(--ISNUMBER( SEARCH({"c","C","b","B"},#REF!))),"Yes","No")</f>
        <v>No</v>
      </c>
      <c r="BT11" s="157">
        <f t="shared" si="4"/>
        <v>0</v>
      </c>
      <c r="BU11" s="169" t="str">
        <f>IF(N11=Data!$BI$3,Data!$DR$3,IF(N11=Data!$BI$4,Data!$DS$3,IF(N11=Data!$BI$5,Data!$DT$3,IF(N11=Data!$BI$6,Data!$DU$3,IF(N11=Data!$BI$7,Data!$DV$3, IF(N11=Data!$BI$8,Data!$DX$3, IF(N11=Data!$BI$9,Data!$DW$3, "")))))))</f>
        <v/>
      </c>
      <c r="BV11" s="169" t="str">
        <f>IF(N11=Data!$BI$3,Data!$DY$3,IF(N11=Data!$BI$4,Data!$DZ$3,IF(N11=Data!$BI$5,Data!$EA$3,IF(N11=Data!$BI$6,Data!$EB$3,IF(N11=Data!$BI$7,Data!$EC$3,IF(N11=Data!$BI$8,Data!$EE$3, IF(N11=Data!$BI$9,Data!$ED$3,"")))))))</f>
        <v/>
      </c>
      <c r="BW11" s="157">
        <f t="shared" si="5"/>
        <v>0</v>
      </c>
      <c r="BX11" s="157">
        <f t="shared" si="6"/>
        <v>0</v>
      </c>
      <c r="BY11" s="169" t="e">
        <f t="shared" si="26"/>
        <v>#DIV/0!</v>
      </c>
      <c r="BZ11" s="330" t="b">
        <f>IF(G11=Data!$EU$2,Data!$ES$2,IF(G11=Data!$EU$3,Data!$ER$2, IF(G11=Data!$EU$5,Data!$ET$2, IF(G11=Data!$EU$4,Data!$EQ$2,IF(G11=Data!$EU$6,Data!$ER$2)))))</f>
        <v>0</v>
      </c>
      <c r="CA11" s="330" t="b">
        <f>IF(G11=Data!$EU$2,Data!$EW$2,IF(G11=Data!$EU$3,Data!$EX$2,IF(G11=Data!$EU$4,Data!$EY$2, IF(G11=Data!$EU$5,Data!$EY$2,IF(G11=Data!$EU$6,Data!$EX$2)))))</f>
        <v>0</v>
      </c>
      <c r="CB11" s="169" t="e">
        <f>VLOOKUP(M11,Data!$EJ$3:$EK$14,2,FALSE)</f>
        <v>#N/A</v>
      </c>
      <c r="CC11" s="169" t="str">
        <f>IF(J11="114mm",VLOOKUP(H11,Data!$FA$2:$FB$18,2,FALSE),"OK")</f>
        <v>OK</v>
      </c>
      <c r="CD11" s="169" t="e">
        <f t="shared" si="7"/>
        <v>#DIV/0!</v>
      </c>
      <c r="CE11" s="169" t="str">
        <f>IF(OR(AND(R11="",P11&lt;&gt;"")),VLOOKUP(P11,Data!$FC$2:$FD$18,2,FALSE),"")</f>
        <v/>
      </c>
      <c r="CF11" s="169" t="str">
        <f>IF(N11=Data!$BI$3,Data!$FJ$1,IF(N11=Data!$BI$4,Data!$FK$1,IF(N11=Data!$BI$5,Data!$FL$1,IF(N11=Data!$BI$6,Data!$FM$1,IF(N11=Data!$BI$7,Data!$FN$1, IF(N11=Data!$BI$8,Data!$FO$1, IF(N11=Data!$BI$9,Data!$FI$1, "")))))))</f>
        <v/>
      </c>
      <c r="CG11" s="169" t="str">
        <f>IF(SUM(--ISNUMBER(SEARCH({"z","Z"}, P11))),"Yes","No")</f>
        <v>No</v>
      </c>
      <c r="CH11" s="169" t="str">
        <f t="shared" si="8"/>
        <v>OK</v>
      </c>
      <c r="CI11" s="169">
        <f t="shared" si="27"/>
        <v>0</v>
      </c>
      <c r="CJ11" s="169" t="e">
        <f>VLOOKUP(O11,Data!$DO$4:$DP$156,2,FALSE)</f>
        <v>#N/A</v>
      </c>
      <c r="CK11" s="169" t="e">
        <f t="shared" si="9"/>
        <v>#N/A</v>
      </c>
      <c r="CL11" s="157"/>
      <c r="CM11" s="157" t="s">
        <v>661</v>
      </c>
      <c r="CN11" s="157" t="str">
        <f>IF(COUNTIF(M9:M23,Data!EJ6)+COUNTIF(M9:M23,Data!EJ7)+COUNTIF(M9:M23,Data!EJ9)+COUNTIF(M9:M23,Data!EJ10)+COUNTIF(M9:M23,Data!EJ13),Data!EL6,"")</f>
        <v/>
      </c>
      <c r="CO11" s="344" t="str">
        <f t="shared" si="28"/>
        <v>OK</v>
      </c>
      <c r="CP11" s="169" t="b">
        <f t="shared" si="29"/>
        <v>0</v>
      </c>
      <c r="CQ11" s="169">
        <f t="shared" si="30"/>
        <v>0</v>
      </c>
      <c r="CR11" s="169">
        <f t="shared" si="31"/>
        <v>1</v>
      </c>
      <c r="CS11" s="169">
        <f t="shared" si="32"/>
        <v>0</v>
      </c>
      <c r="CT11" s="157" t="e">
        <f t="shared" si="33"/>
        <v>#DIV/0!</v>
      </c>
      <c r="CU11" s="169" t="b">
        <f>IF(H11=Data!$BD$3,Data!$HC$2,IF(H11=Data!$BD$4,Data!$HM$2,IF(H11=Data!$BD$5,Data!$HF$2,IF(H11=Data!$BD$6,Data!$HB$2,IF(H11=Data!$BD$7,Data!$HD$2,IF(H11=Data!$BD$8,Data!$HJ$2,IF(H11=Data!$BD$9,Data!$HN$2,IF(H11=Data!$BD$10,Data!$HA$2,IF(H11=Data!$BD$11,Data!$HI$2)))))))))</f>
        <v>0</v>
      </c>
      <c r="CV11" s="276" t="b">
        <f>IF(H11=Data!$BE$3,Data!$HQ$2, IF(H11=Data!$BE$4,Data!$HP$2, IF(H11=Data!$BE$5,Data!$HR$2, IF(H11=Data!$BE$6,Data!$HO$2))))</f>
        <v>0</v>
      </c>
      <c r="CW11" s="330" t="b">
        <f>IF(H11=Data!$BH$3,Data!$HU$2, IF(H11=Data!$BH$4,Data!$HT$2, IF(H11=Data!$BH$5,Data!$HS$2)))</f>
        <v>0</v>
      </c>
      <c r="CX11" s="330" t="b">
        <f>IF(H11=Data!$BF$3,Data!$HQ$16, IF(H11=Data!$BF$4,Data!$HP$16, IF(H11=Data!$BF$5,Data!$HR$16, IF(H11=Data!$BF$6,Data!$HO$16))))</f>
        <v>0</v>
      </c>
      <c r="CY11" s="330" t="b">
        <f>IF(G11=Data!$BC$3,Shutters!CU11,IF(G11=Data!$BC$4,Shutters!CV11,IF(G11=Data!$BC$6,Shutters!CW11, IF(G11=Data!$BC$5, Shutters!CX11,IF(G11=Data!$BC$7,Shutters!CV11)))))</f>
        <v>0</v>
      </c>
      <c r="CZ11" s="157" t="e">
        <f>IF(OR(AND(L11&gt;0,#REF!="")), "Error","OK")</f>
        <v>#REF!</v>
      </c>
      <c r="DA11" s="169" t="e">
        <f>IF(COUNTIF(#REF!,Data!$CX$6),"Yes","")</f>
        <v>#REF!</v>
      </c>
      <c r="DB11" s="54" t="str">
        <f t="shared" si="34"/>
        <v/>
      </c>
      <c r="DE11" s="54" t="str">
        <f>IF(N11=Data!$BI$5,"Yes",IF(N11=Data!$BI$6,"Yes","No"))</f>
        <v>No</v>
      </c>
      <c r="DF11" s="65" t="b">
        <f>IF(N11=Data!$BI$3,Data!$JB$2,IF(N11=Data!$BI$4,Data!$JC$2,IF(N11=Data!$BI$5,Data!$JD$2,IF(N11=Data!$BI$6,Data!$JE$2,IF(N11=Data!$BI$7,Data!$JF$2, IF(N11=Data!$BI$8,Data!$JA$2, IF(N11=Data!$BI$9,Data!$JG$2)))))))</f>
        <v>0</v>
      </c>
      <c r="DI11" s="65" t="e">
        <f>VLOOKUP(O11,Data!$DO$4:$DQ$156,3,FALSE)</f>
        <v>#N/A</v>
      </c>
      <c r="DJ11" s="54" t="e">
        <f t="shared" si="10"/>
        <v>#N/A</v>
      </c>
      <c r="DK11" s="54" t="e">
        <f t="shared" si="35"/>
        <v>#N/A</v>
      </c>
      <c r="DL11" s="54" t="b">
        <f>IF(P11=Data!$BK$3,Data!$JH$2,IF(P11=Data!$BK$4,Data!$JI$2,IF(P11=Data!$BK$5,Data!$JJ$2,IF(P11=Data!$BK$6,Data!$JK$2,IF(P11=Data!$BK$7,Data!$JL$2,IF(P11=Data!$BK$8,Data!$JM$2,IF(P11=Data!$BK$9,Data!$JN$2,IF(P11=Data!$BK$10,Data!$JO$2,IF(P11=Data!$BK$11,Data!$JP$2,IF(P11=Data!$BK$12,Data!$JQ$2,IF(P11=Data!$BK$13,Data!$JR$2,IF(P11=Data!$BK$14,Data!$JS$2,IF(P11=Data!$BK$15,Data!$JT$2,IF(P11=Data!$BK$16,Data!$JU$2,IF(P11=Data!$BK$17,Data!$JV$2,IF(P11=Data!$BK$18,Data!$JW$2, IF(P11=Data!$BK$19,Data!$JX$2, IF(P11=Data!$BK$20,Data!$JY$2))))))))))))))))))</f>
        <v>0</v>
      </c>
      <c r="DN11" s="169" t="str">
        <f t="shared" si="36"/>
        <v/>
      </c>
      <c r="DO11" s="169" t="e">
        <f t="shared" si="37"/>
        <v>#N/A</v>
      </c>
      <c r="DP11" s="169" t="str">
        <f t="shared" si="38"/>
        <v>OK</v>
      </c>
      <c r="DQ11" s="169" t="str">
        <f t="shared" si="39"/>
        <v>OK</v>
      </c>
      <c r="DR11" s="169" t="str">
        <f t="shared" si="40"/>
        <v>OK</v>
      </c>
      <c r="DS11" s="169" t="str">
        <f t="shared" si="41"/>
        <v>OK</v>
      </c>
      <c r="DT11" s="65" t="b">
        <f>IF(N11=Data!$LW$2,Data!$LX$1,IF(N11=Data!$LW$3,Data!$LY$1,IF(N11=Data!$LW$4,Data!$LZ$1,IF(N11=Data!$LW$5,Data!$MA$1,IF(N11=Data!$LW$6,Data!$MB$1,IF(N11=Data!$LW$7,Data!$MC$1, IF(N11=Data!$LW$8,Data!$MX$1)))))))</f>
        <v>0</v>
      </c>
      <c r="DU11" s="65" t="b">
        <f>IF(E11=Data!$MD$2,Data!$ME$2, IF(E11=Data!$MD$3,Data!$MF$2, IF(E11=Data!$MD$4,Data!$MG$2)))</f>
        <v>0</v>
      </c>
      <c r="DV11" s="54" t="str">
        <f>IF(E11="MS", Data!$AK$1, Data!$EJ$2)</f>
        <v>Special_Window</v>
      </c>
      <c r="DW11" s="65" t="str">
        <f>IF(OR(AND(S11="",P11&lt;&gt;"")),VLOOKUP(P11,Data!$FC$2:$FD$18,2,FALSE),"")</f>
        <v/>
      </c>
      <c r="DX11" s="65" t="str">
        <f>IF(OR(AND(T11="",P11&lt;&gt;"")),VLOOKUP(P11,Data!$FC$2:$FD$18,2,FALSE),"")</f>
        <v/>
      </c>
      <c r="DY11" s="65" t="str">
        <f>IF(OR(AND(U11="",P11&lt;&gt;"")),VLOOKUP(P11,Data!$FC$2:$FD$18,2,FALSE),"")</f>
        <v/>
      </c>
      <c r="DZ11" s="157" t="e">
        <f>VLOOKUP(N11,Data!$MK$2:$ML$8,2,FALSE)</f>
        <v>#N/A</v>
      </c>
      <c r="EA11" s="65" t="e">
        <f>VLOOKUP(O11,Data!$DO$4:$DO$157,1,FALSE)</f>
        <v>#N/A</v>
      </c>
      <c r="EB11" s="65" t="e">
        <f t="shared" si="42"/>
        <v>#N/A</v>
      </c>
      <c r="EC11" s="54" t="str">
        <f t="shared" si="43"/>
        <v/>
      </c>
      <c r="ED11" s="157" t="str">
        <f t="shared" si="44"/>
        <v>OK</v>
      </c>
      <c r="EE11" s="169" t="b">
        <f>IF(P11=Data!$NN$3,Data!$NO$2, IF(P11=Data!$NN$4,Data!$NP$2, IF(P11=Data!$NN$5,Data!$NQ$2, IF(P11=Data!$NN$6,Data!$NR$2, IF(P11=Data!$NN$7,Data!$NS$2, IF(P11=Data!$NN$8,Data!$NT$2, IF(P11=Data!$NN$9,Data!$NU$2, IF(P11=Data!$NN$10,Data!$NV$2, IF(P11=Data!$NN$11,Data!$NW$2, IF(P11=Data!$NN$12,Data!$NX$2, IF(P11=Data!$NN$13,Data!$NY$2, IF(P11=Data!$NN$14,Data!$NZ$2, IF(P11=Data!$NN$15,Data!$OA$2, IF(P11=Data!$NN$16,Data!$OB$2, IF(P11=Data!$NN$17,Data!$OC$2, IF(P11=Data!$NN$18,Data!$OD$2, IF(P11=Data!$NN$19,Data!$OE$2, IF(P11=Data!$NN$20,Data!$OG$2))))))))))))))))))</f>
        <v>0</v>
      </c>
      <c r="EF11" s="169" t="b">
        <f>IF(P11=Data!$NN$3,Data!$NO$15,IF(P11=Data!$NN$4,Data!$NP$15,IF(P11=Data!$NN$5,Data!$NQ$15,IF(P11=Data!$NN$6,Data!$NR$15,IF(P11=Data!$NN$7,Data!$NS$15,IF(P11=Data!$NN$8,Data!$NT$15,IF(P11=Data!$NN$9,Data!$NU$15,IF(P11=Data!$NN$10,Data!$NV$15,IF(P11=Data!$NN$11,Data!$NW$15,IF(P11=Data!$NN$12,Data!$NX$15,IF(P11=Data!$NN$13,Data!$NY$15,IF(P11=Data!$NN$14,Data!$NZ$15,IF(N11=Data!$NN$22,Data!$OA$15,IF(N11=Data!$NN$23,Data!$OB$15,IF(P11=Data!$NN$19,Data!$OC$15, IF(P11=Data!$NN$20,Data!$OG$15))))))))))))))))</f>
        <v>0</v>
      </c>
      <c r="EG11" s="330" t="e">
        <f>MATCH(G11, Data!$CW$10:$CW$14,0)</f>
        <v>#N/A</v>
      </c>
      <c r="EH11" s="169" t="e">
        <f>MATCH(J11,Data!$CX$9:$DA$9,0)</f>
        <v>#N/A</v>
      </c>
      <c r="EI11" s="334" t="e">
        <f>INDEX(Data!$CX$10:$DA$14,Shutters!EG11,Shutters!EH11)</f>
        <v>#N/A</v>
      </c>
      <c r="EJ11" s="169" t="str">
        <f>IF(SUM(--ISNUMBER(SEARCH({"combo","Combo","COMBO"}, B28))),"Yes","No")</f>
        <v>No</v>
      </c>
      <c r="EK11" s="169" t="str">
        <f>IF(SUM(--ISNUMBER(SEARCH({"combo","Combo","COMBO"}, F28))),"Yes","No")</f>
        <v>No</v>
      </c>
      <c r="EL11" s="169" t="str">
        <f t="shared" si="45"/>
        <v>No</v>
      </c>
      <c r="EM11" s="157">
        <f t="shared" si="46"/>
        <v>1</v>
      </c>
      <c r="EN11" s="157" t="e">
        <f t="shared" si="47"/>
        <v>#DIV/0!</v>
      </c>
      <c r="EO11" s="169" t="str">
        <f t="shared" si="48"/>
        <v/>
      </c>
      <c r="EP11" s="330" t="str">
        <f t="shared" si="49"/>
        <v/>
      </c>
      <c r="EQ11" s="330" t="str">
        <f t="shared" si="50"/>
        <v/>
      </c>
      <c r="ER11" s="169" t="str">
        <f t="shared" si="51"/>
        <v/>
      </c>
      <c r="ES11" s="169" t="str">
        <f t="shared" si="52"/>
        <v/>
      </c>
      <c r="ET11" s="169" t="str">
        <f t="shared" si="53"/>
        <v/>
      </c>
      <c r="EU11" s="264" t="str">
        <f t="shared" si="54"/>
        <v>No</v>
      </c>
      <c r="EV11" s="330" t="e">
        <f>MATCH(G11,Data!$FH$18:$FL$18,0)</f>
        <v>#N/A</v>
      </c>
      <c r="EW11" s="169" t="e">
        <f>MATCH(N11,Data!$FG$19:$FG$25,0)</f>
        <v>#N/A</v>
      </c>
      <c r="EX11" s="330" t="e">
        <f>INDEX(Data!$FH$19:$FL$25,Shutters!EW11,Shutters!EV11)</f>
        <v>#N/A</v>
      </c>
    </row>
    <row r="12" spans="1:154" ht="36.75" customHeight="1">
      <c r="A12" s="52">
        <v>4</v>
      </c>
      <c r="B12" s="17"/>
      <c r="C12" s="14"/>
      <c r="D12" s="14"/>
      <c r="E12" s="10"/>
      <c r="F12" s="10"/>
      <c r="G12" s="13"/>
      <c r="H12" s="689"/>
      <c r="I12" s="763"/>
      <c r="J12" s="14"/>
      <c r="K12" s="144" t="str">
        <f t="shared" si="11"/>
        <v/>
      </c>
      <c r="L12" s="15"/>
      <c r="M12" s="15"/>
      <c r="N12" s="15"/>
      <c r="O12" s="15"/>
      <c r="P12" s="527"/>
      <c r="Q12" s="527"/>
      <c r="R12" s="13"/>
      <c r="S12" s="13"/>
      <c r="T12" s="13"/>
      <c r="U12" s="13"/>
      <c r="V12" s="15"/>
      <c r="W12" s="15"/>
      <c r="X12" s="16"/>
      <c r="Y12" s="16"/>
      <c r="Z12" s="14"/>
      <c r="AA12" s="14"/>
      <c r="AB12" s="14"/>
      <c r="AC12" s="18"/>
      <c r="AD12" s="164" t="str">
        <f t="shared" si="0"/>
        <v/>
      </c>
      <c r="AE12" s="229"/>
      <c r="AF12" s="230"/>
      <c r="AU12" s="108" t="str">
        <f t="shared" si="12"/>
        <v/>
      </c>
      <c r="AV12" s="65" t="e">
        <f t="shared" si="13"/>
        <v>#N/A</v>
      </c>
      <c r="AW12" s="169" t="e">
        <f>VLOOKUP(P12,Data!$MI$2:$MJ$4,2,FALSE)</f>
        <v>#N/A</v>
      </c>
      <c r="AX12" s="169" t="e">
        <f t="shared" si="14"/>
        <v>#N/A</v>
      </c>
      <c r="AY12" s="169" t="e">
        <f>VLOOKUP(N12,Data!$BI$24:$BJ$30,2,FALSE)</f>
        <v>#N/A</v>
      </c>
      <c r="AZ12" s="155" t="b">
        <f>IF(G12=Data!$BO$2,Data!$BS$2, IF(Shutters!G12=Data!$BP$2,Data!$BT$2, IF(Shutters!G12=Data!$BQ$2,Data!$BU$2)))</f>
        <v>0</v>
      </c>
      <c r="BA12" s="340" t="str">
        <f t="shared" si="15"/>
        <v>No</v>
      </c>
      <c r="BB12" s="155" t="e">
        <f t="shared" si="16"/>
        <v>#DIV/0!</v>
      </c>
      <c r="BC12" s="340" t="e">
        <f t="shared" si="17"/>
        <v>#DIV/0!</v>
      </c>
      <c r="BD12" s="155" t="e">
        <f t="shared" si="1"/>
        <v>#DIV/0!</v>
      </c>
      <c r="BE12" s="340" t="str">
        <f t="shared" si="18"/>
        <v>No</v>
      </c>
      <c r="BF12" s="155" t="str">
        <f t="shared" si="19"/>
        <v>NotRequired</v>
      </c>
      <c r="BG12" s="155" t="b">
        <f>IF(G12=Data!$BO$2,Data!$CM$2, IF(Shutters!G12=Data!$BP$2,Data!$CN$2, IF(Shutters!G12=Data!$BQ$2,Data!$CO$2)))</f>
        <v>0</v>
      </c>
      <c r="BH12" s="155" t="e">
        <f t="shared" si="20"/>
        <v>#DIV/0!</v>
      </c>
      <c r="BI12" s="156" t="str">
        <f t="shared" si="2"/>
        <v>NoHighlight</v>
      </c>
      <c r="BJ12" s="340" t="str">
        <f t="shared" si="21"/>
        <v>FauxwoodRPNo</v>
      </c>
      <c r="BK12" s="156" t="str">
        <f>IF(SUM(--ISNUMBER( SEARCH({"t","T"},O12))),"Yes","No")</f>
        <v>No</v>
      </c>
      <c r="BL12" s="156" t="str">
        <f t="shared" si="22"/>
        <v>OK</v>
      </c>
      <c r="BM12" s="156" t="str">
        <f t="shared" si="23"/>
        <v>OK</v>
      </c>
      <c r="BN12" s="156" t="str">
        <f t="shared" si="24"/>
        <v>OK</v>
      </c>
      <c r="BO12" s="156" t="e">
        <f>IF(OR(AND(F12&gt;1,#REF!="L",#REF!="l"),AND(F12&gt;1,#REF!="R",#REF!="r"),AND(F12&gt;2,#REF!="LR",#REF!="lr")), "Error","OK")</f>
        <v>#REF!</v>
      </c>
      <c r="BP12" s="156" t="str">
        <f t="shared" si="3"/>
        <v>FauxwoodAINo</v>
      </c>
      <c r="BQ12" s="156" t="str">
        <f>IF(SUM(--ISNUMBER(SEARCH({"combo","Combo","COMBO"}, B29))),"Yes","No")</f>
        <v>No</v>
      </c>
      <c r="BR12" s="156" t="str">
        <f t="shared" si="25"/>
        <v>No</v>
      </c>
      <c r="BS12" s="156" t="str">
        <f>IF(SUM(--ISNUMBER( SEARCH({"c","C","b","B"},#REF!))),"Yes","No")</f>
        <v>No</v>
      </c>
      <c r="BT12" s="157">
        <f t="shared" si="4"/>
        <v>0</v>
      </c>
      <c r="BU12" s="169" t="str">
        <f>IF(N12=Data!$BI$3,Data!$DR$3,IF(N12=Data!$BI$4,Data!$DS$3,IF(N12=Data!$BI$5,Data!$DT$3,IF(N12=Data!$BI$6,Data!$DU$3,IF(N12=Data!$BI$7,Data!$DV$3, IF(N12=Data!$BI$8,Data!$DX$3, IF(N12=Data!$BI$9,Data!$DW$3, "")))))))</f>
        <v/>
      </c>
      <c r="BV12" s="169" t="str">
        <f>IF(N12=Data!$BI$3,Data!$DY$3,IF(N12=Data!$BI$4,Data!$DZ$3,IF(N12=Data!$BI$5,Data!$EA$3,IF(N12=Data!$BI$6,Data!$EB$3,IF(N12=Data!$BI$7,Data!$EC$3,IF(N12=Data!$BI$8,Data!$EE$3, IF(N12=Data!$BI$9,Data!$ED$3,"")))))))</f>
        <v/>
      </c>
      <c r="BW12" s="157">
        <f t="shared" si="5"/>
        <v>0</v>
      </c>
      <c r="BX12" s="157">
        <f t="shared" si="6"/>
        <v>0</v>
      </c>
      <c r="BY12" s="169" t="e">
        <f t="shared" si="26"/>
        <v>#DIV/0!</v>
      </c>
      <c r="BZ12" s="330" t="b">
        <f>IF(G12=Data!$EU$2,Data!$ES$2,IF(G12=Data!$EU$3,Data!$ER$2, IF(G12=Data!$EU$5,Data!$ET$2, IF(G12=Data!$EU$4,Data!$EQ$2,IF(G12=Data!$EU$6,Data!$ER$2)))))</f>
        <v>0</v>
      </c>
      <c r="CA12" s="330" t="b">
        <f>IF(G12=Data!$EU$2,Data!$EW$2,IF(G12=Data!$EU$3,Data!$EX$2,IF(G12=Data!$EU$4,Data!$EY$2, IF(G12=Data!$EU$5,Data!$EY$2,IF(G12=Data!$EU$6,Data!$EX$2)))))</f>
        <v>0</v>
      </c>
      <c r="CB12" s="169" t="e">
        <f>VLOOKUP(M12,Data!$EJ$3:$EK$14,2,FALSE)</f>
        <v>#N/A</v>
      </c>
      <c r="CC12" s="169" t="str">
        <f>IF(J12="114mm",VLOOKUP(H12,Data!$FA$2:$FB$18,2,FALSE),"OK")</f>
        <v>OK</v>
      </c>
      <c r="CD12" s="169" t="e">
        <f t="shared" si="7"/>
        <v>#DIV/0!</v>
      </c>
      <c r="CE12" s="169" t="str">
        <f>IF(OR(AND(R12="",P12&lt;&gt;"")),VLOOKUP(P12,Data!$FC$2:$FD$18,2,FALSE),"")</f>
        <v/>
      </c>
      <c r="CF12" s="169" t="str">
        <f>IF(N12=Data!$BI$3,Data!$FJ$1,IF(N12=Data!$BI$4,Data!$FK$1,IF(N12=Data!$BI$5,Data!$FL$1,IF(N12=Data!$BI$6,Data!$FM$1,IF(N12=Data!$BI$7,Data!$FN$1, IF(N12=Data!$BI$8,Data!$FO$1, IF(N12=Data!$BI$9,Data!$FI$1, "")))))))</f>
        <v/>
      </c>
      <c r="CG12" s="169" t="str">
        <f>IF(SUM(--ISNUMBER(SEARCH({"z","Z"}, P12))),"Yes","No")</f>
        <v>No</v>
      </c>
      <c r="CH12" s="169" t="str">
        <f t="shared" si="8"/>
        <v>OK</v>
      </c>
      <c r="CI12" s="169">
        <f t="shared" si="27"/>
        <v>0</v>
      </c>
      <c r="CJ12" s="169" t="e">
        <f>VLOOKUP(O12,Data!$DO$4:$DP$156,2,FALSE)</f>
        <v>#N/A</v>
      </c>
      <c r="CK12" s="169" t="e">
        <f t="shared" si="9"/>
        <v>#N/A</v>
      </c>
      <c r="CL12" s="157"/>
      <c r="CM12" s="157" t="s">
        <v>662</v>
      </c>
      <c r="CN12" s="157" t="str">
        <f>IF(COUNTIF(M9:M23,Data!EJ8)+COUNTIF(M9:M23,Data!EJ11)+COUNTIF(M9:M23,Data!EJ12),Data!EL8,"")</f>
        <v/>
      </c>
      <c r="CO12" s="344" t="str">
        <f t="shared" si="28"/>
        <v>OK</v>
      </c>
      <c r="CP12" s="169" t="b">
        <f t="shared" si="29"/>
        <v>0</v>
      </c>
      <c r="CQ12" s="169">
        <f t="shared" si="30"/>
        <v>0</v>
      </c>
      <c r="CR12" s="169">
        <f t="shared" si="31"/>
        <v>1</v>
      </c>
      <c r="CS12" s="169">
        <f t="shared" si="32"/>
        <v>0</v>
      </c>
      <c r="CT12" s="157" t="e">
        <f t="shared" si="33"/>
        <v>#DIV/0!</v>
      </c>
      <c r="CU12" s="169" t="b">
        <f>IF(H12=Data!$BD$3,Data!$HC$2,IF(H12=Data!$BD$4,Data!$HM$2,IF(H12=Data!$BD$5,Data!$HF$2,IF(H12=Data!$BD$6,Data!$HB$2,IF(H12=Data!$BD$7,Data!$HD$2,IF(H12=Data!$BD$8,Data!$HJ$2,IF(H12=Data!$BD$9,Data!$HN$2,IF(H12=Data!$BD$10,Data!$HA$2,IF(H12=Data!$BD$11,Data!$HI$2)))))))))</f>
        <v>0</v>
      </c>
      <c r="CV12" s="276" t="b">
        <f>IF(H12=Data!$BE$3,Data!$HQ$2, IF(H12=Data!$BE$4,Data!$HP$2, IF(H12=Data!$BE$5,Data!$HR$2, IF(H12=Data!$BE$6,Data!$HO$2))))</f>
        <v>0</v>
      </c>
      <c r="CW12" s="330" t="b">
        <f>IF(H12=Data!$BH$3,Data!$HU$2, IF(H12=Data!$BH$4,Data!$HT$2, IF(H12=Data!$BH$5,Data!$HS$2)))</f>
        <v>0</v>
      </c>
      <c r="CX12" s="330" t="b">
        <f>IF(H12=Data!$BF$3,Data!$HQ$16, IF(H12=Data!$BF$4,Data!$HP$16, IF(H12=Data!$BF$5,Data!$HR$16, IF(H12=Data!$BF$6,Data!$HO$16))))</f>
        <v>0</v>
      </c>
      <c r="CY12" s="330" t="b">
        <f>IF(G12=Data!$BC$3,Shutters!CU12,IF(G12=Data!$BC$4,Shutters!CV12,IF(G12=Data!$BC$6,Shutters!CW12, IF(G12=Data!$BC$5, Shutters!CX12,IF(G12=Data!$BC$7,Shutters!CV12)))))</f>
        <v>0</v>
      </c>
      <c r="CZ12" s="157" t="e">
        <f>IF(OR(AND(L12&gt;0,#REF!="")), "Error","OK")</f>
        <v>#REF!</v>
      </c>
      <c r="DA12" s="169" t="e">
        <f>IF(COUNTIF(#REF!,Data!$CX$6),"Yes","")</f>
        <v>#REF!</v>
      </c>
      <c r="DB12" s="54" t="str">
        <f t="shared" si="34"/>
        <v/>
      </c>
      <c r="DE12" s="54" t="str">
        <f>IF(N12=Data!$BI$5,"Yes",IF(N12=Data!$BI$6,"Yes","No"))</f>
        <v>No</v>
      </c>
      <c r="DF12" s="65" t="b">
        <f>IF(N12=Data!$BI$3,Data!$JB$2,IF(N12=Data!$BI$4,Data!$JC$2,IF(N12=Data!$BI$5,Data!$JD$2,IF(N12=Data!$BI$6,Data!$JE$2,IF(N12=Data!$BI$7,Data!$JF$2, IF(N12=Data!$BI$8,Data!$JA$2, IF(N12=Data!$BI$9,Data!$JG$2)))))))</f>
        <v>0</v>
      </c>
      <c r="DI12" s="65" t="e">
        <f>VLOOKUP(O12,Data!$DO$4:$DQ$156,3,FALSE)</f>
        <v>#N/A</v>
      </c>
      <c r="DJ12" s="54" t="e">
        <f t="shared" si="10"/>
        <v>#N/A</v>
      </c>
      <c r="DK12" s="54" t="e">
        <f t="shared" si="35"/>
        <v>#N/A</v>
      </c>
      <c r="DL12" s="54" t="b">
        <f>IF(P12=Data!$BK$3,Data!$JH$2,IF(P12=Data!$BK$4,Data!$JI$2,IF(P12=Data!$BK$5,Data!$JJ$2,IF(P12=Data!$BK$6,Data!$JK$2,IF(P12=Data!$BK$7,Data!$JL$2,IF(P12=Data!$BK$8,Data!$JM$2,IF(P12=Data!$BK$9,Data!$JN$2,IF(P12=Data!$BK$10,Data!$JO$2,IF(P12=Data!$BK$11,Data!$JP$2,IF(P12=Data!$BK$12,Data!$JQ$2,IF(P12=Data!$BK$13,Data!$JR$2,IF(P12=Data!$BK$14,Data!$JS$2,IF(P12=Data!$BK$15,Data!$JT$2,IF(P12=Data!$BK$16,Data!$JU$2,IF(P12=Data!$BK$17,Data!$JV$2,IF(P12=Data!$BK$18,Data!$JW$2, IF(P12=Data!$BK$19,Data!$JX$2, IF(P12=Data!$BK$20,Data!$JY$2))))))))))))))))))</f>
        <v>0</v>
      </c>
      <c r="DN12" s="169" t="str">
        <f t="shared" si="36"/>
        <v/>
      </c>
      <c r="DO12" s="169" t="e">
        <f t="shared" si="37"/>
        <v>#N/A</v>
      </c>
      <c r="DP12" s="169" t="str">
        <f t="shared" si="38"/>
        <v>OK</v>
      </c>
      <c r="DQ12" s="169" t="str">
        <f t="shared" si="39"/>
        <v>OK</v>
      </c>
      <c r="DR12" s="169" t="str">
        <f t="shared" si="40"/>
        <v>OK</v>
      </c>
      <c r="DS12" s="169" t="str">
        <f t="shared" si="41"/>
        <v>OK</v>
      </c>
      <c r="DT12" s="65" t="b">
        <f>IF(N12=Data!$LW$2,Data!$LX$1,IF(N12=Data!$LW$3,Data!$LY$1,IF(N12=Data!$LW$4,Data!$LZ$1,IF(N12=Data!$LW$5,Data!$MA$1,IF(N12=Data!$LW$6,Data!$MB$1,IF(N12=Data!$LW$7,Data!$MC$1, IF(N12=Data!$LW$8,Data!$MX$1)))))))</f>
        <v>0</v>
      </c>
      <c r="DU12" s="65" t="b">
        <f>IF(E12=Data!$MD$2,Data!$ME$2, IF(E12=Data!$MD$3,Data!$MF$2, IF(E12=Data!$MD$4,Data!$MG$2)))</f>
        <v>0</v>
      </c>
      <c r="DV12" s="54" t="str">
        <f>IF(E12="MS", Data!$AK$1, Data!$EJ$2)</f>
        <v>Special_Window</v>
      </c>
      <c r="DW12" s="65" t="str">
        <f>IF(OR(AND(S12="",P12&lt;&gt;"")),VLOOKUP(P12,Data!$FC$2:$FD$18,2,FALSE),"")</f>
        <v/>
      </c>
      <c r="DX12" s="65" t="str">
        <f>IF(OR(AND(T12="",P12&lt;&gt;"")),VLOOKUP(P12,Data!$FC$2:$FD$18,2,FALSE),"")</f>
        <v/>
      </c>
      <c r="DY12" s="65" t="str">
        <f>IF(OR(AND(U12="",P12&lt;&gt;"")),VLOOKUP(P12,Data!$FC$2:$FD$18,2,FALSE),"")</f>
        <v/>
      </c>
      <c r="DZ12" s="157" t="e">
        <f>VLOOKUP(N12,Data!$MK$2:$ML$8,2,FALSE)</f>
        <v>#N/A</v>
      </c>
      <c r="EA12" s="65" t="e">
        <f>VLOOKUP(O12,Data!$DO$4:$DO$157,1,FALSE)</f>
        <v>#N/A</v>
      </c>
      <c r="EB12" s="65" t="e">
        <f t="shared" si="42"/>
        <v>#N/A</v>
      </c>
      <c r="EC12" s="54" t="str">
        <f t="shared" si="43"/>
        <v/>
      </c>
      <c r="ED12" s="157" t="str">
        <f t="shared" si="44"/>
        <v>OK</v>
      </c>
      <c r="EE12" s="169" t="b">
        <f>IF(P12=Data!$NN$3,Data!$NO$2, IF(P12=Data!$NN$4,Data!$NP$2, IF(P12=Data!$NN$5,Data!$NQ$2, IF(P12=Data!$NN$6,Data!$NR$2, IF(P12=Data!$NN$7,Data!$NS$2, IF(P12=Data!$NN$8,Data!$NT$2, IF(P12=Data!$NN$9,Data!$NU$2, IF(P12=Data!$NN$10,Data!$NV$2, IF(P12=Data!$NN$11,Data!$NW$2, IF(P12=Data!$NN$12,Data!$NX$2, IF(P12=Data!$NN$13,Data!$NY$2, IF(P12=Data!$NN$14,Data!$NZ$2, IF(P12=Data!$NN$15,Data!$OA$2, IF(P12=Data!$NN$16,Data!$OB$2, IF(P12=Data!$NN$17,Data!$OC$2, IF(P12=Data!$NN$18,Data!$OD$2, IF(P12=Data!$NN$19,Data!$OE$2, IF(P12=Data!$NN$20,Data!$OG$2))))))))))))))))))</f>
        <v>0</v>
      </c>
      <c r="EF12" s="169" t="b">
        <f>IF(P12=Data!$NN$3,Data!$NO$15,IF(P12=Data!$NN$4,Data!$NP$15,IF(P12=Data!$NN$5,Data!$NQ$15,IF(P12=Data!$NN$6,Data!$NR$15,IF(P12=Data!$NN$7,Data!$NS$15,IF(P12=Data!$NN$8,Data!$NT$15,IF(P12=Data!$NN$9,Data!$NU$15,IF(P12=Data!$NN$10,Data!$NV$15,IF(P12=Data!$NN$11,Data!$NW$15,IF(P12=Data!$NN$12,Data!$NX$15,IF(P12=Data!$NN$13,Data!$NY$15,IF(P12=Data!$NN$14,Data!$NZ$15,IF(N12=Data!$NN$22,Data!$OA$15,IF(N12=Data!$NN$23,Data!$OB$15,IF(P12=Data!$NN$19,Data!$OC$15, IF(P12=Data!$NN$20,Data!$OG$15))))))))))))))))</f>
        <v>0</v>
      </c>
      <c r="EG12" s="330" t="e">
        <f>MATCH(G12, Data!$CW$10:$CW$14,0)</f>
        <v>#N/A</v>
      </c>
      <c r="EH12" s="169" t="e">
        <f>MATCH(J12,Data!$CX$9:$DA$9,0)</f>
        <v>#N/A</v>
      </c>
      <c r="EI12" s="334" t="e">
        <f>INDEX(Data!$CX$10:$DA$14,Shutters!EG12,Shutters!EH12)</f>
        <v>#N/A</v>
      </c>
      <c r="EJ12" s="169" t="str">
        <f>IF(SUM(--ISNUMBER(SEARCH({"combo","Combo","COMBO"}, B29))),"Yes","No")</f>
        <v>No</v>
      </c>
      <c r="EK12" s="169" t="str">
        <f>IF(SUM(--ISNUMBER(SEARCH({"combo","Combo","COMBO"}, F29))),"Yes","No")</f>
        <v>No</v>
      </c>
      <c r="EL12" s="169" t="str">
        <f t="shared" si="45"/>
        <v>No</v>
      </c>
      <c r="EM12" s="157">
        <f t="shared" si="46"/>
        <v>1</v>
      </c>
      <c r="EN12" s="157" t="e">
        <f t="shared" si="47"/>
        <v>#DIV/0!</v>
      </c>
      <c r="EO12" s="169" t="str">
        <f t="shared" si="48"/>
        <v/>
      </c>
      <c r="EP12" s="330" t="str">
        <f t="shared" si="49"/>
        <v/>
      </c>
      <c r="EQ12" s="330" t="str">
        <f t="shared" si="50"/>
        <v/>
      </c>
      <c r="ER12" s="169" t="str">
        <f t="shared" si="51"/>
        <v/>
      </c>
      <c r="ES12" s="169" t="str">
        <f t="shared" si="52"/>
        <v/>
      </c>
      <c r="ET12" s="169" t="str">
        <f t="shared" si="53"/>
        <v/>
      </c>
      <c r="EU12" s="264" t="str">
        <f t="shared" si="54"/>
        <v>No</v>
      </c>
      <c r="EV12" s="330" t="e">
        <f>MATCH(G12,Data!$FH$18:$FL$18,0)</f>
        <v>#N/A</v>
      </c>
      <c r="EW12" s="169" t="e">
        <f>MATCH(N12,Data!$FG$19:$FG$25,0)</f>
        <v>#N/A</v>
      </c>
      <c r="EX12" s="330" t="e">
        <f>INDEX(Data!$FH$19:$FL$25,Shutters!EW12,Shutters!EV12)</f>
        <v>#N/A</v>
      </c>
    </row>
    <row r="13" spans="1:154" ht="36.75" customHeight="1">
      <c r="A13" s="52">
        <v>5</v>
      </c>
      <c r="B13" s="17"/>
      <c r="C13" s="14"/>
      <c r="D13" s="14"/>
      <c r="E13" s="14"/>
      <c r="F13" s="10"/>
      <c r="G13" s="13"/>
      <c r="H13" s="689"/>
      <c r="I13" s="763"/>
      <c r="J13" s="14"/>
      <c r="K13" s="144" t="str">
        <f t="shared" si="11"/>
        <v/>
      </c>
      <c r="L13" s="15"/>
      <c r="M13" s="15"/>
      <c r="N13" s="15"/>
      <c r="O13" s="15"/>
      <c r="P13" s="527"/>
      <c r="Q13" s="527"/>
      <c r="R13" s="13"/>
      <c r="S13" s="13"/>
      <c r="T13" s="13"/>
      <c r="U13" s="13"/>
      <c r="V13" s="15"/>
      <c r="W13" s="15"/>
      <c r="X13" s="16"/>
      <c r="Y13" s="16"/>
      <c r="Z13" s="14"/>
      <c r="AA13" s="14"/>
      <c r="AB13" s="14"/>
      <c r="AC13" s="18"/>
      <c r="AD13" s="164" t="str">
        <f t="shared" si="0"/>
        <v/>
      </c>
      <c r="AE13" s="229"/>
      <c r="AF13" s="230"/>
      <c r="AU13" s="108" t="str">
        <f t="shared" si="12"/>
        <v/>
      </c>
      <c r="AV13" s="65" t="e">
        <f t="shared" si="13"/>
        <v>#N/A</v>
      </c>
      <c r="AW13" s="169" t="e">
        <f>VLOOKUP(P13,Data!$MI$2:$MJ$4,2,FALSE)</f>
        <v>#N/A</v>
      </c>
      <c r="AX13" s="169" t="e">
        <f t="shared" si="14"/>
        <v>#N/A</v>
      </c>
      <c r="AY13" s="169" t="e">
        <f>VLOOKUP(N13,Data!$BI$24:$BJ$30,2,FALSE)</f>
        <v>#N/A</v>
      </c>
      <c r="AZ13" s="155" t="b">
        <f>IF(G13=Data!$BO$2,Data!$BS$2, IF(Shutters!G13=Data!$BP$2,Data!$BT$2, IF(Shutters!G13=Data!$BQ$2,Data!$BU$2)))</f>
        <v>0</v>
      </c>
      <c r="BA13" s="340" t="str">
        <f t="shared" si="15"/>
        <v>No</v>
      </c>
      <c r="BB13" s="155" t="e">
        <f t="shared" si="16"/>
        <v>#DIV/0!</v>
      </c>
      <c r="BC13" s="340" t="e">
        <f t="shared" si="17"/>
        <v>#DIV/0!</v>
      </c>
      <c r="BD13" s="155" t="e">
        <f t="shared" si="1"/>
        <v>#DIV/0!</v>
      </c>
      <c r="BE13" s="340" t="str">
        <f t="shared" si="18"/>
        <v>No</v>
      </c>
      <c r="BF13" s="155" t="str">
        <f t="shared" si="19"/>
        <v>NotRequired</v>
      </c>
      <c r="BG13" s="155" t="b">
        <f>IF(G13=Data!$BO$2,Data!$CM$2, IF(Shutters!G13=Data!$BP$2,Data!$CN$2, IF(Shutters!G13=Data!$BQ$2,Data!$CO$2)))</f>
        <v>0</v>
      </c>
      <c r="BH13" s="155" t="e">
        <f t="shared" si="20"/>
        <v>#DIV/0!</v>
      </c>
      <c r="BI13" s="156" t="str">
        <f t="shared" si="2"/>
        <v>NoHighlight</v>
      </c>
      <c r="BJ13" s="340" t="str">
        <f t="shared" si="21"/>
        <v>FauxwoodRPNo</v>
      </c>
      <c r="BK13" s="156" t="str">
        <f>IF(SUM(--ISNUMBER( SEARCH({"t","T"},O13))),"Yes","No")</f>
        <v>No</v>
      </c>
      <c r="BL13" s="156" t="str">
        <f t="shared" si="22"/>
        <v>OK</v>
      </c>
      <c r="BM13" s="156" t="str">
        <f t="shared" si="23"/>
        <v>OK</v>
      </c>
      <c r="BN13" s="156" t="str">
        <f t="shared" si="24"/>
        <v>OK</v>
      </c>
      <c r="BO13" s="156" t="e">
        <f>IF(OR(AND(F13&gt;1,#REF!="L",#REF!="l"),AND(F13&gt;1,#REF!="R",#REF!="r"),AND(F13&gt;2,#REF!="LR",#REF!="lr")), "Error","OK")</f>
        <v>#REF!</v>
      </c>
      <c r="BP13" s="156" t="str">
        <f t="shared" si="3"/>
        <v>FauxwoodAINo</v>
      </c>
      <c r="BQ13" s="156" t="str">
        <f>IF(SUM(--ISNUMBER(SEARCH({"combo","Combo","COMBO"}, B30))),"Yes","No")</f>
        <v>No</v>
      </c>
      <c r="BR13" s="156" t="str">
        <f t="shared" si="25"/>
        <v>No</v>
      </c>
      <c r="BS13" s="156" t="str">
        <f>IF(SUM(--ISNUMBER( SEARCH({"c","C","b","B"},#REF!))),"Yes","No")</f>
        <v>No</v>
      </c>
      <c r="BT13" s="157">
        <f t="shared" si="4"/>
        <v>0</v>
      </c>
      <c r="BU13" s="169" t="str">
        <f>IF(N13=Data!$BI$3,Data!$DR$3,IF(N13=Data!$BI$4,Data!$DS$3,IF(N13=Data!$BI$5,Data!$DT$3,IF(N13=Data!$BI$6,Data!$DU$3,IF(N13=Data!$BI$7,Data!$DV$3, IF(N13=Data!$BI$8,Data!$DX$3, IF(N13=Data!$BI$9,Data!$DW$3, "")))))))</f>
        <v/>
      </c>
      <c r="BV13" s="169" t="str">
        <f>IF(N13=Data!$BI$3,Data!$DY$3,IF(N13=Data!$BI$4,Data!$DZ$3,IF(N13=Data!$BI$5,Data!$EA$3,IF(N13=Data!$BI$6,Data!$EB$3,IF(N13=Data!$BI$7,Data!$EC$3,IF(N13=Data!$BI$8,Data!$EE$3, IF(N13=Data!$BI$9,Data!$ED$3,"")))))))</f>
        <v/>
      </c>
      <c r="BW13" s="157">
        <f t="shared" si="5"/>
        <v>0</v>
      </c>
      <c r="BX13" s="157">
        <f t="shared" si="6"/>
        <v>0</v>
      </c>
      <c r="BY13" s="169" t="e">
        <f t="shared" si="26"/>
        <v>#DIV/0!</v>
      </c>
      <c r="BZ13" s="330" t="b">
        <f>IF(G13=Data!$EU$2,Data!$ES$2,IF(G13=Data!$EU$3,Data!$ER$2, IF(G13=Data!$EU$5,Data!$ET$2, IF(G13=Data!$EU$4,Data!$EQ$2,IF(G13=Data!$EU$6,Data!$ER$2)))))</f>
        <v>0</v>
      </c>
      <c r="CA13" s="330" t="b">
        <f>IF(G13=Data!$EU$2,Data!$EW$2,IF(G13=Data!$EU$3,Data!$EX$2,IF(G13=Data!$EU$4,Data!$EY$2, IF(G13=Data!$EU$5,Data!$EY$2,IF(G13=Data!$EU$6,Data!$EX$2)))))</f>
        <v>0</v>
      </c>
      <c r="CB13" s="169" t="e">
        <f>VLOOKUP(M13,Data!$EJ$3:$EK$14,2,FALSE)</f>
        <v>#N/A</v>
      </c>
      <c r="CC13" s="169" t="str">
        <f>IF(J13="114mm",VLOOKUP(H13,Data!$FA$2:$FB$18,2,FALSE),"OK")</f>
        <v>OK</v>
      </c>
      <c r="CD13" s="169" t="e">
        <f t="shared" si="7"/>
        <v>#DIV/0!</v>
      </c>
      <c r="CE13" s="169" t="str">
        <f>IF(OR(AND(R13="",P13&lt;&gt;"")),VLOOKUP(P13,Data!$FC$2:$FD$18,2,FALSE),"")</f>
        <v/>
      </c>
      <c r="CF13" s="169" t="str">
        <f>IF(N13=Data!$BI$3,Data!$FJ$1,IF(N13=Data!$BI$4,Data!$FK$1,IF(N13=Data!$BI$5,Data!$FL$1,IF(N13=Data!$BI$6,Data!$FM$1,IF(N13=Data!$BI$7,Data!$FN$1, IF(N13=Data!$BI$8,Data!$FO$1, IF(N13=Data!$BI$9,Data!$FI$1, "")))))))</f>
        <v/>
      </c>
      <c r="CG13" s="169" t="str">
        <f>IF(SUM(--ISNUMBER(SEARCH({"z","Z"}, P13))),"Yes","No")</f>
        <v>No</v>
      </c>
      <c r="CH13" s="169" t="str">
        <f t="shared" si="8"/>
        <v>OK</v>
      </c>
      <c r="CI13" s="169">
        <f t="shared" si="27"/>
        <v>0</v>
      </c>
      <c r="CJ13" s="169" t="e">
        <f>VLOOKUP(O13,Data!$DO$4:$DP$156,2,FALSE)</f>
        <v>#N/A</v>
      </c>
      <c r="CK13" s="169" t="e">
        <f t="shared" si="9"/>
        <v>#N/A</v>
      </c>
      <c r="CL13" s="157"/>
      <c r="CM13" s="157"/>
      <c r="CN13" s="157" t="str">
        <f>CN9&amp;"   "&amp;CN10&amp;"   "&amp;CN11&amp;"   "&amp;CN12</f>
        <v xml:space="preserve">         </v>
      </c>
      <c r="CO13" s="344" t="str">
        <f t="shared" si="28"/>
        <v>OK</v>
      </c>
      <c r="CP13" s="169" t="b">
        <f t="shared" si="29"/>
        <v>0</v>
      </c>
      <c r="CQ13" s="169">
        <f t="shared" si="30"/>
        <v>0</v>
      </c>
      <c r="CR13" s="169">
        <f t="shared" si="31"/>
        <v>1</v>
      </c>
      <c r="CS13" s="169">
        <f t="shared" si="32"/>
        <v>0</v>
      </c>
      <c r="CT13" s="157" t="e">
        <f t="shared" si="33"/>
        <v>#DIV/0!</v>
      </c>
      <c r="CU13" s="169" t="b">
        <f>IF(H13=Data!$BD$3,Data!$HC$2,IF(H13=Data!$BD$4,Data!$HM$2,IF(H13=Data!$BD$5,Data!$HF$2,IF(H13=Data!$BD$6,Data!$HB$2,IF(H13=Data!$BD$7,Data!$HD$2,IF(H13=Data!$BD$8,Data!$HJ$2,IF(H13=Data!$BD$9,Data!$HN$2,IF(H13=Data!$BD$10,Data!$HA$2,IF(H13=Data!$BD$11,Data!$HI$2)))))))))</f>
        <v>0</v>
      </c>
      <c r="CV13" s="276" t="b">
        <f>IF(H13=Data!$BE$3,Data!$HQ$2, IF(H13=Data!$BE$4,Data!$HP$2, IF(H13=Data!$BE$5,Data!$HR$2, IF(H13=Data!$BE$6,Data!$HO$2))))</f>
        <v>0</v>
      </c>
      <c r="CW13" s="330" t="b">
        <f>IF(H13=Data!$BH$3,Data!$HU$2, IF(H13=Data!$BH$4,Data!$HT$2, IF(H13=Data!$BH$5,Data!$HS$2)))</f>
        <v>0</v>
      </c>
      <c r="CX13" s="330" t="b">
        <f>IF(H13=Data!$BF$3,Data!$HQ$16, IF(H13=Data!$BF$4,Data!$HP$16, IF(H13=Data!$BF$5,Data!$HR$16, IF(H13=Data!$BF$6,Data!$HO$16))))</f>
        <v>0</v>
      </c>
      <c r="CY13" s="330" t="b">
        <f>IF(G13=Data!$BC$3,Shutters!CU13,IF(G13=Data!$BC$4,Shutters!CV13,IF(G13=Data!$BC$6,Shutters!CW13, IF(G13=Data!$BC$5, Shutters!CX13,IF(G13=Data!$BC$7,Shutters!CV13)))))</f>
        <v>0</v>
      </c>
      <c r="CZ13" s="157" t="e">
        <f>IF(OR(AND(L13&gt;0,#REF!="")), "Error","OK")</f>
        <v>#REF!</v>
      </c>
      <c r="DA13" s="169" t="e">
        <f>IF(COUNTIF(#REF!,Data!$CX$6),"Yes","")</f>
        <v>#REF!</v>
      </c>
      <c r="DB13" s="54" t="str">
        <f t="shared" si="34"/>
        <v/>
      </c>
      <c r="DE13" s="54" t="str">
        <f>IF(N13=Data!$BI$5,"Yes",IF(N13=Data!$BI$6,"Yes","No"))</f>
        <v>No</v>
      </c>
      <c r="DF13" s="65" t="b">
        <f>IF(N13=Data!$BI$3,Data!$JB$2,IF(N13=Data!$BI$4,Data!$JC$2,IF(N13=Data!$BI$5,Data!$JD$2,IF(N13=Data!$BI$6,Data!$JE$2,IF(N13=Data!$BI$7,Data!$JF$2, IF(N13=Data!$BI$8,Data!$JA$2, IF(N13=Data!$BI$9,Data!$JG$2)))))))</f>
        <v>0</v>
      </c>
      <c r="DI13" s="65" t="e">
        <f>VLOOKUP(O13,Data!$DO$4:$DQ$156,3,FALSE)</f>
        <v>#N/A</v>
      </c>
      <c r="DJ13" s="54" t="e">
        <f t="shared" si="10"/>
        <v>#N/A</v>
      </c>
      <c r="DK13" s="54" t="e">
        <f t="shared" si="35"/>
        <v>#N/A</v>
      </c>
      <c r="DL13" s="54" t="b">
        <f>IF(P13=Data!$BK$3,Data!$JH$2,IF(P13=Data!$BK$4,Data!$JI$2,IF(P13=Data!$BK$5,Data!$JJ$2,IF(P13=Data!$BK$6,Data!$JK$2,IF(P13=Data!$BK$7,Data!$JL$2,IF(P13=Data!$BK$8,Data!$JM$2,IF(P13=Data!$BK$9,Data!$JN$2,IF(P13=Data!$BK$10,Data!$JO$2,IF(P13=Data!$BK$11,Data!$JP$2,IF(P13=Data!$BK$12,Data!$JQ$2,IF(P13=Data!$BK$13,Data!$JR$2,IF(P13=Data!$BK$14,Data!$JS$2,IF(P13=Data!$BK$15,Data!$JT$2,IF(P13=Data!$BK$16,Data!$JU$2,IF(P13=Data!$BK$17,Data!$JV$2,IF(P13=Data!$BK$18,Data!$JW$2, IF(P13=Data!$BK$19,Data!$JX$2, IF(P13=Data!$BK$20,Data!$JY$2))))))))))))))))))</f>
        <v>0</v>
      </c>
      <c r="DN13" s="169" t="str">
        <f t="shared" si="36"/>
        <v/>
      </c>
      <c r="DO13" s="169" t="e">
        <f t="shared" si="37"/>
        <v>#N/A</v>
      </c>
      <c r="DP13" s="169" t="str">
        <f t="shared" si="38"/>
        <v>OK</v>
      </c>
      <c r="DQ13" s="169" t="str">
        <f t="shared" si="39"/>
        <v>OK</v>
      </c>
      <c r="DR13" s="169" t="str">
        <f t="shared" si="40"/>
        <v>OK</v>
      </c>
      <c r="DS13" s="169" t="str">
        <f t="shared" si="41"/>
        <v>OK</v>
      </c>
      <c r="DT13" s="65" t="b">
        <f>IF(N13=Data!$LW$2,Data!$LX$1,IF(N13=Data!$LW$3,Data!$LY$1,IF(N13=Data!$LW$4,Data!$LZ$1,IF(N13=Data!$LW$5,Data!$MA$1,IF(N13=Data!$LW$6,Data!$MB$1,IF(N13=Data!$LW$7,Data!$MC$1, IF(N13=Data!$LW$8,Data!$MX$1)))))))</f>
        <v>0</v>
      </c>
      <c r="DU13" s="65" t="b">
        <f>IF(E13=Data!$MD$2,Data!$ME$2, IF(E13=Data!$MD$3,Data!$MF$2, IF(E13=Data!$MD$4,Data!$MG$2)))</f>
        <v>0</v>
      </c>
      <c r="DV13" s="54" t="str">
        <f>IF(E13="MS", Data!$AK$1, Data!$EJ$2)</f>
        <v>Special_Window</v>
      </c>
      <c r="DW13" s="65" t="str">
        <f>IF(OR(AND(S13="",P13&lt;&gt;"")),VLOOKUP(P13,Data!$FC$2:$FD$18,2,FALSE),"")</f>
        <v/>
      </c>
      <c r="DX13" s="65" t="str">
        <f>IF(OR(AND(T13="",P13&lt;&gt;"")),VLOOKUP(P13,Data!$FC$2:$FD$18,2,FALSE),"")</f>
        <v/>
      </c>
      <c r="DY13" s="65" t="str">
        <f>IF(OR(AND(U13="",P13&lt;&gt;"")),VLOOKUP(P13,Data!$FC$2:$FD$18,2,FALSE),"")</f>
        <v/>
      </c>
      <c r="DZ13" s="157" t="e">
        <f>VLOOKUP(N13,Data!$MK$2:$ML$8,2,FALSE)</f>
        <v>#N/A</v>
      </c>
      <c r="EA13" s="65" t="e">
        <f>VLOOKUP(O13,Data!$DO$4:$DO$157,1,FALSE)</f>
        <v>#N/A</v>
      </c>
      <c r="EB13" s="65" t="e">
        <f t="shared" si="42"/>
        <v>#N/A</v>
      </c>
      <c r="EC13" s="54" t="str">
        <f t="shared" si="43"/>
        <v/>
      </c>
      <c r="ED13" s="157" t="str">
        <f t="shared" si="44"/>
        <v>OK</v>
      </c>
      <c r="EE13" s="169" t="b">
        <f>IF(P13=Data!$NN$3,Data!$NO$2, IF(P13=Data!$NN$4,Data!$NP$2, IF(P13=Data!$NN$5,Data!$NQ$2, IF(P13=Data!$NN$6,Data!$NR$2, IF(P13=Data!$NN$7,Data!$NS$2, IF(P13=Data!$NN$8,Data!$NT$2, IF(P13=Data!$NN$9,Data!$NU$2, IF(P13=Data!$NN$10,Data!$NV$2, IF(P13=Data!$NN$11,Data!$NW$2, IF(P13=Data!$NN$12,Data!$NX$2, IF(P13=Data!$NN$13,Data!$NY$2, IF(P13=Data!$NN$14,Data!$NZ$2, IF(P13=Data!$NN$15,Data!$OA$2, IF(P13=Data!$NN$16,Data!$OB$2, IF(P13=Data!$NN$17,Data!$OC$2, IF(P13=Data!$NN$18,Data!$OD$2, IF(P13=Data!$NN$19,Data!$OE$2, IF(P13=Data!$NN$20,Data!$OG$2))))))))))))))))))</f>
        <v>0</v>
      </c>
      <c r="EF13" s="169" t="b">
        <f>IF(P13=Data!$NN$3,Data!$NO$15,IF(P13=Data!$NN$4,Data!$NP$15,IF(P13=Data!$NN$5,Data!$NQ$15,IF(P13=Data!$NN$6,Data!$NR$15,IF(P13=Data!$NN$7,Data!$NS$15,IF(P13=Data!$NN$8,Data!$NT$15,IF(P13=Data!$NN$9,Data!$NU$15,IF(P13=Data!$NN$10,Data!$NV$15,IF(P13=Data!$NN$11,Data!$NW$15,IF(P13=Data!$NN$12,Data!$NX$15,IF(P13=Data!$NN$13,Data!$NY$15,IF(P13=Data!$NN$14,Data!$NZ$15,IF(N13=Data!$NN$22,Data!$OA$15,IF(N13=Data!$NN$23,Data!$OB$15,IF(P13=Data!$NN$19,Data!$OC$15, IF(P13=Data!$NN$20,Data!$OG$15))))))))))))))))</f>
        <v>0</v>
      </c>
      <c r="EG13" s="330" t="e">
        <f>MATCH(G13, Data!$CW$10:$CW$14,0)</f>
        <v>#N/A</v>
      </c>
      <c r="EH13" s="169" t="e">
        <f>MATCH(J13,Data!$CX$9:$DA$9,0)</f>
        <v>#N/A</v>
      </c>
      <c r="EI13" s="334" t="e">
        <f>INDEX(Data!$CX$10:$DA$14,Shutters!EG13,Shutters!EH13)</f>
        <v>#N/A</v>
      </c>
      <c r="EJ13" s="169" t="str">
        <f>IF(SUM(--ISNUMBER(SEARCH({"combo","Combo","COMBO"}, B30))),"Yes","No")</f>
        <v>No</v>
      </c>
      <c r="EK13" s="169" t="str">
        <f>IF(SUM(--ISNUMBER(SEARCH({"combo","Combo","COMBO"}, F30))),"Yes","No")</f>
        <v>No</v>
      </c>
      <c r="EL13" s="169" t="str">
        <f t="shared" si="45"/>
        <v>No</v>
      </c>
      <c r="EM13" s="157">
        <f t="shared" si="46"/>
        <v>1</v>
      </c>
      <c r="EN13" s="157" t="e">
        <f t="shared" si="47"/>
        <v>#DIV/0!</v>
      </c>
      <c r="EO13" s="169" t="str">
        <f t="shared" si="48"/>
        <v/>
      </c>
      <c r="EP13" s="330" t="str">
        <f t="shared" si="49"/>
        <v/>
      </c>
      <c r="EQ13" s="330" t="str">
        <f t="shared" si="50"/>
        <v/>
      </c>
      <c r="ER13" s="169" t="str">
        <f t="shared" si="51"/>
        <v/>
      </c>
      <c r="ES13" s="169" t="str">
        <f t="shared" si="52"/>
        <v/>
      </c>
      <c r="ET13" s="169" t="str">
        <f t="shared" si="53"/>
        <v/>
      </c>
      <c r="EU13" s="264" t="str">
        <f t="shared" si="54"/>
        <v>No</v>
      </c>
      <c r="EV13" s="330" t="e">
        <f>MATCH(G13,Data!$FH$18:$FL$18,0)</f>
        <v>#N/A</v>
      </c>
      <c r="EW13" s="169" t="e">
        <f>MATCH(N13,Data!$FG$19:$FG$25,0)</f>
        <v>#N/A</v>
      </c>
      <c r="EX13" s="330" t="e">
        <f>INDEX(Data!$FH$19:$FL$25,Shutters!EW13,Shutters!EV13)</f>
        <v>#N/A</v>
      </c>
    </row>
    <row r="14" spans="1:154" ht="36.75" customHeight="1">
      <c r="A14" s="52">
        <v>6</v>
      </c>
      <c r="B14" s="17"/>
      <c r="C14" s="14"/>
      <c r="D14" s="14"/>
      <c r="E14" s="14"/>
      <c r="F14" s="10"/>
      <c r="G14" s="13"/>
      <c r="H14" s="689"/>
      <c r="I14" s="763"/>
      <c r="J14" s="14"/>
      <c r="K14" s="144" t="str">
        <f t="shared" si="11"/>
        <v/>
      </c>
      <c r="L14" s="15"/>
      <c r="M14" s="15"/>
      <c r="N14" s="15"/>
      <c r="O14" s="15"/>
      <c r="P14" s="527"/>
      <c r="Q14" s="527"/>
      <c r="R14" s="13"/>
      <c r="S14" s="13"/>
      <c r="T14" s="13"/>
      <c r="U14" s="13"/>
      <c r="V14" s="15"/>
      <c r="W14" s="15"/>
      <c r="X14" s="16"/>
      <c r="Y14" s="16"/>
      <c r="Z14" s="14"/>
      <c r="AA14" s="14"/>
      <c r="AB14" s="14"/>
      <c r="AC14" s="18"/>
      <c r="AD14" s="164" t="str">
        <f t="shared" si="0"/>
        <v/>
      </c>
      <c r="AE14" s="229"/>
      <c r="AF14" s="230"/>
      <c r="AU14" s="108" t="str">
        <f t="shared" si="12"/>
        <v/>
      </c>
      <c r="AV14" s="65" t="e">
        <f t="shared" si="13"/>
        <v>#N/A</v>
      </c>
      <c r="AW14" s="169" t="e">
        <f>VLOOKUP(P14,Data!$MI$2:$MJ$4,2,FALSE)</f>
        <v>#N/A</v>
      </c>
      <c r="AX14" s="169" t="e">
        <f t="shared" si="14"/>
        <v>#N/A</v>
      </c>
      <c r="AY14" s="169" t="e">
        <f>VLOOKUP(N14,Data!$BI$24:$BJ$30,2,FALSE)</f>
        <v>#N/A</v>
      </c>
      <c r="AZ14" s="155" t="b">
        <f>IF(G14=Data!$BO$2,Data!$BS$2, IF(Shutters!G14=Data!$BP$2,Data!$BT$2, IF(Shutters!G14=Data!$BQ$2,Data!$BU$2)))</f>
        <v>0</v>
      </c>
      <c r="BA14" s="340" t="str">
        <f t="shared" si="15"/>
        <v>No</v>
      </c>
      <c r="BB14" s="155" t="e">
        <f t="shared" si="16"/>
        <v>#DIV/0!</v>
      </c>
      <c r="BC14" s="340" t="e">
        <f t="shared" si="17"/>
        <v>#DIV/0!</v>
      </c>
      <c r="BD14" s="155" t="e">
        <f t="shared" si="1"/>
        <v>#DIV/0!</v>
      </c>
      <c r="BE14" s="340" t="str">
        <f t="shared" si="18"/>
        <v>No</v>
      </c>
      <c r="BF14" s="155" t="str">
        <f t="shared" si="19"/>
        <v>NotRequired</v>
      </c>
      <c r="BG14" s="155" t="b">
        <f>IF(G14=Data!$BO$2,Data!$CM$2, IF(Shutters!G14=Data!$BP$2,Data!$CN$2, IF(Shutters!G14=Data!$BQ$2,Data!$CO$2)))</f>
        <v>0</v>
      </c>
      <c r="BH14" s="155" t="e">
        <f t="shared" si="20"/>
        <v>#DIV/0!</v>
      </c>
      <c r="BI14" s="156" t="str">
        <f t="shared" si="2"/>
        <v>NoHighlight</v>
      </c>
      <c r="BJ14" s="340" t="str">
        <f t="shared" si="21"/>
        <v>FauxwoodRPNo</v>
      </c>
      <c r="BK14" s="156" t="str">
        <f>IF(SUM(--ISNUMBER( SEARCH({"t","T"},O14))),"Yes","No")</f>
        <v>No</v>
      </c>
      <c r="BL14" s="156" t="str">
        <f t="shared" si="22"/>
        <v>OK</v>
      </c>
      <c r="BM14" s="156" t="str">
        <f t="shared" si="23"/>
        <v>OK</v>
      </c>
      <c r="BN14" s="156" t="str">
        <f t="shared" si="24"/>
        <v>OK</v>
      </c>
      <c r="BO14" s="156" t="e">
        <f>IF(OR(AND(F14&gt;1,#REF!="L",#REF!="l"),AND(F14&gt;1,#REF!="R",#REF!="r"),AND(F14&gt;2,#REF!="LR",#REF!="lr")), "Error","OK")</f>
        <v>#REF!</v>
      </c>
      <c r="BP14" s="156" t="str">
        <f t="shared" si="3"/>
        <v>FauxwoodAINo</v>
      </c>
      <c r="BQ14" s="156" t="str">
        <f>IF(SUM(--ISNUMBER(SEARCH({"combo","Combo","COMBO"}, B31))),"Yes","No")</f>
        <v>No</v>
      </c>
      <c r="BR14" s="156" t="str">
        <f t="shared" si="25"/>
        <v>No</v>
      </c>
      <c r="BS14" s="156" t="str">
        <f>IF(SUM(--ISNUMBER( SEARCH({"c","C","b","B"},#REF!))),"Yes","No")</f>
        <v>No</v>
      </c>
      <c r="BT14" s="157">
        <f t="shared" si="4"/>
        <v>0</v>
      </c>
      <c r="BU14" s="169" t="str">
        <f>IF(N14=Data!$BI$3,Data!$DR$3,IF(N14=Data!$BI$4,Data!$DS$3,IF(N14=Data!$BI$5,Data!$DT$3,IF(N14=Data!$BI$6,Data!$DU$3,IF(N14=Data!$BI$7,Data!$DV$3, IF(N14=Data!$BI$8,Data!$DX$3, IF(N14=Data!$BI$9,Data!$DW$3, "")))))))</f>
        <v/>
      </c>
      <c r="BV14" s="169" t="str">
        <f>IF(N14=Data!$BI$3,Data!$DY$3,IF(N14=Data!$BI$4,Data!$DZ$3,IF(N14=Data!$BI$5,Data!$EA$3,IF(N14=Data!$BI$6,Data!$EB$3,IF(N14=Data!$BI$7,Data!$EC$3,IF(N14=Data!$BI$8,Data!$EE$3, IF(N14=Data!$BI$9,Data!$ED$3,"")))))))</f>
        <v/>
      </c>
      <c r="BW14" s="157">
        <f t="shared" si="5"/>
        <v>0</v>
      </c>
      <c r="BX14" s="157">
        <f t="shared" si="6"/>
        <v>0</v>
      </c>
      <c r="BY14" s="169" t="e">
        <f t="shared" si="26"/>
        <v>#DIV/0!</v>
      </c>
      <c r="BZ14" s="330" t="b">
        <f>IF(G14=Data!$EU$2,Data!$ES$2,IF(G14=Data!$EU$3,Data!$ER$2, IF(G14=Data!$EU$5,Data!$ET$2, IF(G14=Data!$EU$4,Data!$EQ$2,IF(G14=Data!$EU$6,Data!$ER$2)))))</f>
        <v>0</v>
      </c>
      <c r="CA14" s="330" t="b">
        <f>IF(G14=Data!$EU$2,Data!$EW$2,IF(G14=Data!$EU$3,Data!$EX$2,IF(G14=Data!$EU$4,Data!$EY$2, IF(G14=Data!$EU$5,Data!$EY$2,IF(G14=Data!$EU$6,Data!$EX$2)))))</f>
        <v>0</v>
      </c>
      <c r="CB14" s="169" t="e">
        <f>VLOOKUP(M14,Data!$EJ$3:$EK$14,2,FALSE)</f>
        <v>#N/A</v>
      </c>
      <c r="CC14" s="169" t="str">
        <f>IF(J14="114mm",VLOOKUP(H14,Data!$FA$2:$FB$18,2,FALSE),"OK")</f>
        <v>OK</v>
      </c>
      <c r="CD14" s="169" t="e">
        <f t="shared" si="7"/>
        <v>#DIV/0!</v>
      </c>
      <c r="CE14" s="169" t="str">
        <f>IF(OR(AND(R14="",P14&lt;&gt;"")),VLOOKUP(P14,Data!$FC$2:$FD$18,2,FALSE),"")</f>
        <v/>
      </c>
      <c r="CF14" s="169" t="str">
        <f>IF(N14=Data!$BI$3,Data!$FJ$1,IF(N14=Data!$BI$4,Data!$FK$1,IF(N14=Data!$BI$5,Data!$FL$1,IF(N14=Data!$BI$6,Data!$FM$1,IF(N14=Data!$BI$7,Data!$FN$1, IF(N14=Data!$BI$8,Data!$FO$1, IF(N14=Data!$BI$9,Data!$FI$1, "")))))))</f>
        <v/>
      </c>
      <c r="CG14" s="169" t="str">
        <f>IF(SUM(--ISNUMBER(SEARCH({"z","Z"}, P14))),"Yes","No")</f>
        <v>No</v>
      </c>
      <c r="CH14" s="169" t="str">
        <f t="shared" si="8"/>
        <v>OK</v>
      </c>
      <c r="CI14" s="169">
        <f t="shared" si="27"/>
        <v>0</v>
      </c>
      <c r="CJ14" s="169" t="e">
        <f>VLOOKUP(O14,Data!$DO$4:$DP$156,2,FALSE)</f>
        <v>#N/A</v>
      </c>
      <c r="CK14" s="169" t="e">
        <f t="shared" si="9"/>
        <v>#N/A</v>
      </c>
      <c r="CL14" s="157"/>
      <c r="CM14" s="157"/>
      <c r="CN14" s="157"/>
      <c r="CO14" s="344" t="str">
        <f t="shared" si="28"/>
        <v>OK</v>
      </c>
      <c r="CP14" s="169" t="b">
        <f t="shared" si="29"/>
        <v>0</v>
      </c>
      <c r="CQ14" s="169">
        <f t="shared" si="30"/>
        <v>0</v>
      </c>
      <c r="CR14" s="169">
        <f t="shared" si="31"/>
        <v>1</v>
      </c>
      <c r="CS14" s="169">
        <f t="shared" si="32"/>
        <v>0</v>
      </c>
      <c r="CT14" s="157" t="e">
        <f t="shared" si="33"/>
        <v>#DIV/0!</v>
      </c>
      <c r="CU14" s="169" t="b">
        <f>IF(H14=Data!$BD$3,Data!$HC$2,IF(H14=Data!$BD$4,Data!$HM$2,IF(H14=Data!$BD$5,Data!$HF$2,IF(H14=Data!$BD$6,Data!$HB$2,IF(H14=Data!$BD$7,Data!$HD$2,IF(H14=Data!$BD$8,Data!$HJ$2,IF(H14=Data!$BD$9,Data!$HN$2,IF(H14=Data!$BD$10,Data!$HA$2,IF(H14=Data!$BD$11,Data!$HI$2)))))))))</f>
        <v>0</v>
      </c>
      <c r="CV14" s="276" t="b">
        <f>IF(H14=Data!$BE$3,Data!$HQ$2, IF(H14=Data!$BE$4,Data!$HP$2, IF(H14=Data!$BE$5,Data!$HR$2, IF(H14=Data!$BE$6,Data!$HO$2))))</f>
        <v>0</v>
      </c>
      <c r="CW14" s="330" t="b">
        <f>IF(H14=Data!$BH$3,Data!$HU$2, IF(H14=Data!$BH$4,Data!$HT$2, IF(H14=Data!$BH$5,Data!$HS$2)))</f>
        <v>0</v>
      </c>
      <c r="CX14" s="330" t="b">
        <f>IF(H14=Data!$BF$3,Data!$HQ$16, IF(H14=Data!$BF$4,Data!$HP$16, IF(H14=Data!$BF$5,Data!$HR$16, IF(H14=Data!$BF$6,Data!$HO$16))))</f>
        <v>0</v>
      </c>
      <c r="CY14" s="330" t="b">
        <f>IF(G14=Data!$BC$3,Shutters!CU14,IF(G14=Data!$BC$4,Shutters!CV14,IF(G14=Data!$BC$6,Shutters!CW14, IF(G14=Data!$BC$5, Shutters!CX14,IF(G14=Data!$BC$7,Shutters!CV14)))))</f>
        <v>0</v>
      </c>
      <c r="CZ14" s="157" t="e">
        <f>IF(OR(AND(L14&gt;0,#REF!="")), "Error","OK")</f>
        <v>#REF!</v>
      </c>
      <c r="DA14" s="169" t="e">
        <f>IF(COUNTIF(#REF!,Data!$CX$6),"Yes","")</f>
        <v>#REF!</v>
      </c>
      <c r="DB14" s="54" t="str">
        <f t="shared" si="34"/>
        <v/>
      </c>
      <c r="DE14" s="54" t="str">
        <f>IF(N14=Data!$BI$5,"Yes",IF(N14=Data!$BI$6,"Yes","No"))</f>
        <v>No</v>
      </c>
      <c r="DF14" s="65" t="b">
        <f>IF(N14=Data!$BI$3,Data!$JB$2,IF(N14=Data!$BI$4,Data!$JC$2,IF(N14=Data!$BI$5,Data!$JD$2,IF(N14=Data!$BI$6,Data!$JE$2,IF(N14=Data!$BI$7,Data!$JF$2, IF(N14=Data!$BI$8,Data!$JA$2, IF(N14=Data!$BI$9,Data!$JG$2)))))))</f>
        <v>0</v>
      </c>
      <c r="DI14" s="65" t="e">
        <f>VLOOKUP(O14,Data!$DO$4:$DQ$156,3,FALSE)</f>
        <v>#N/A</v>
      </c>
      <c r="DJ14" s="54" t="e">
        <f t="shared" si="10"/>
        <v>#N/A</v>
      </c>
      <c r="DK14" s="54" t="e">
        <f t="shared" si="35"/>
        <v>#N/A</v>
      </c>
      <c r="DL14" s="54" t="b">
        <f>IF(P14=Data!$BK$3,Data!$JH$2,IF(P14=Data!$BK$4,Data!$JI$2,IF(P14=Data!$BK$5,Data!$JJ$2,IF(P14=Data!$BK$6,Data!$JK$2,IF(P14=Data!$BK$7,Data!$JL$2,IF(P14=Data!$BK$8,Data!$JM$2,IF(P14=Data!$BK$9,Data!$JN$2,IF(P14=Data!$BK$10,Data!$JO$2,IF(P14=Data!$BK$11,Data!$JP$2,IF(P14=Data!$BK$12,Data!$JQ$2,IF(P14=Data!$BK$13,Data!$JR$2,IF(P14=Data!$BK$14,Data!$JS$2,IF(P14=Data!$BK$15,Data!$JT$2,IF(P14=Data!$BK$16,Data!$JU$2,IF(P14=Data!$BK$17,Data!$JV$2,IF(P14=Data!$BK$18,Data!$JW$2, IF(P14=Data!$BK$19,Data!$JX$2, IF(P14=Data!$BK$20,Data!$JY$2))))))))))))))))))</f>
        <v>0</v>
      </c>
      <c r="DN14" s="169" t="str">
        <f t="shared" si="36"/>
        <v/>
      </c>
      <c r="DO14" s="169" t="e">
        <f t="shared" si="37"/>
        <v>#N/A</v>
      </c>
      <c r="DP14" s="169" t="str">
        <f t="shared" si="38"/>
        <v>OK</v>
      </c>
      <c r="DQ14" s="169" t="str">
        <f t="shared" si="39"/>
        <v>OK</v>
      </c>
      <c r="DR14" s="169" t="str">
        <f t="shared" si="40"/>
        <v>OK</v>
      </c>
      <c r="DS14" s="169" t="str">
        <f t="shared" si="41"/>
        <v>OK</v>
      </c>
      <c r="DT14" s="65" t="b">
        <f>IF(N14=Data!$LW$2,Data!$LX$1,IF(N14=Data!$LW$3,Data!$LY$1,IF(N14=Data!$LW$4,Data!$LZ$1,IF(N14=Data!$LW$5,Data!$MA$1,IF(N14=Data!$LW$6,Data!$MB$1,IF(N14=Data!$LW$7,Data!$MC$1, IF(N14=Data!$LW$8,Data!$MX$1)))))))</f>
        <v>0</v>
      </c>
      <c r="DU14" s="65" t="b">
        <f>IF(E14=Data!$MD$2,Data!$ME$2, IF(E14=Data!$MD$3,Data!$MF$2, IF(E14=Data!$MD$4,Data!$MG$2)))</f>
        <v>0</v>
      </c>
      <c r="DV14" s="54" t="str">
        <f>IF(E14="MS", Data!$AK$1, Data!$EJ$2)</f>
        <v>Special_Window</v>
      </c>
      <c r="DW14" s="65" t="str">
        <f>IF(OR(AND(S14="",P14&lt;&gt;"")),VLOOKUP(P14,Data!$FC$2:$FD$18,2,FALSE),"")</f>
        <v/>
      </c>
      <c r="DX14" s="65" t="str">
        <f>IF(OR(AND(T14="",P14&lt;&gt;"")),VLOOKUP(P14,Data!$FC$2:$FD$18,2,FALSE),"")</f>
        <v/>
      </c>
      <c r="DY14" s="65" t="str">
        <f>IF(OR(AND(U14="",P14&lt;&gt;"")),VLOOKUP(P14,Data!$FC$2:$FD$18,2,FALSE),"")</f>
        <v/>
      </c>
      <c r="DZ14" s="157" t="e">
        <f>VLOOKUP(N14,Data!$MK$2:$ML$8,2,FALSE)</f>
        <v>#N/A</v>
      </c>
      <c r="EA14" s="65" t="e">
        <f>VLOOKUP(O14,Data!$DO$4:$DO$157,1,FALSE)</f>
        <v>#N/A</v>
      </c>
      <c r="EB14" s="65" t="e">
        <f t="shared" si="42"/>
        <v>#N/A</v>
      </c>
      <c r="EC14" s="54" t="str">
        <f t="shared" si="43"/>
        <v/>
      </c>
      <c r="ED14" s="157" t="str">
        <f t="shared" si="44"/>
        <v>OK</v>
      </c>
      <c r="EE14" s="169" t="b">
        <f>IF(P14=Data!$NN$3,Data!$NO$2, IF(P14=Data!$NN$4,Data!$NP$2, IF(P14=Data!$NN$5,Data!$NQ$2, IF(P14=Data!$NN$6,Data!$NR$2, IF(P14=Data!$NN$7,Data!$NS$2, IF(P14=Data!$NN$8,Data!$NT$2, IF(P14=Data!$NN$9,Data!$NU$2, IF(P14=Data!$NN$10,Data!$NV$2, IF(P14=Data!$NN$11,Data!$NW$2, IF(P14=Data!$NN$12,Data!$NX$2, IF(P14=Data!$NN$13,Data!$NY$2, IF(P14=Data!$NN$14,Data!$NZ$2, IF(P14=Data!$NN$15,Data!$OA$2, IF(P14=Data!$NN$16,Data!$OB$2, IF(P14=Data!$NN$17,Data!$OC$2, IF(P14=Data!$NN$18,Data!$OD$2, IF(P14=Data!$NN$19,Data!$OE$2, IF(P14=Data!$NN$20,Data!$OG$2))))))))))))))))))</f>
        <v>0</v>
      </c>
      <c r="EF14" s="169" t="b">
        <f>IF(P14=Data!$NN$3,Data!$NO$15,IF(P14=Data!$NN$4,Data!$NP$15,IF(P14=Data!$NN$5,Data!$NQ$15,IF(P14=Data!$NN$6,Data!$NR$15,IF(P14=Data!$NN$7,Data!$NS$15,IF(P14=Data!$NN$8,Data!$NT$15,IF(P14=Data!$NN$9,Data!$NU$15,IF(P14=Data!$NN$10,Data!$NV$15,IF(P14=Data!$NN$11,Data!$NW$15,IF(P14=Data!$NN$12,Data!$NX$15,IF(P14=Data!$NN$13,Data!$NY$15,IF(P14=Data!$NN$14,Data!$NZ$15,IF(N14=Data!$NN$22,Data!$OA$15,IF(N14=Data!$NN$23,Data!$OB$15,IF(P14=Data!$NN$19,Data!$OC$15, IF(P14=Data!$NN$20,Data!$OG$15))))))))))))))))</f>
        <v>0</v>
      </c>
      <c r="EG14" s="330" t="e">
        <f>MATCH(G14, Data!$CW$10:$CW$14,0)</f>
        <v>#N/A</v>
      </c>
      <c r="EH14" s="169" t="e">
        <f>MATCH(J14,Data!$CX$9:$DA$9,0)</f>
        <v>#N/A</v>
      </c>
      <c r="EI14" s="334" t="e">
        <f>INDEX(Data!$CX$10:$DA$14,Shutters!EG14,Shutters!EH14)</f>
        <v>#N/A</v>
      </c>
      <c r="EJ14" s="169" t="str">
        <f>IF(SUM(--ISNUMBER(SEARCH({"combo","Combo","COMBO"}, B31))),"Yes","No")</f>
        <v>No</v>
      </c>
      <c r="EK14" s="169" t="str">
        <f>IF(SUM(--ISNUMBER(SEARCH({"combo","Combo","COMBO"}, F31))),"Yes","No")</f>
        <v>No</v>
      </c>
      <c r="EL14" s="169" t="str">
        <f t="shared" si="45"/>
        <v>No</v>
      </c>
      <c r="EM14" s="157">
        <f t="shared" si="46"/>
        <v>1</v>
      </c>
      <c r="EN14" s="157" t="e">
        <f t="shared" si="47"/>
        <v>#DIV/0!</v>
      </c>
      <c r="EO14" s="169" t="str">
        <f t="shared" si="48"/>
        <v/>
      </c>
      <c r="EP14" s="330" t="str">
        <f t="shared" si="49"/>
        <v/>
      </c>
      <c r="EQ14" s="330" t="str">
        <f t="shared" si="50"/>
        <v/>
      </c>
      <c r="ER14" s="169" t="str">
        <f t="shared" si="51"/>
        <v/>
      </c>
      <c r="ES14" s="169" t="str">
        <f t="shared" si="52"/>
        <v/>
      </c>
      <c r="ET14" s="169" t="str">
        <f t="shared" si="53"/>
        <v/>
      </c>
      <c r="EU14" s="264" t="str">
        <f t="shared" si="54"/>
        <v>No</v>
      </c>
      <c r="EV14" s="330" t="e">
        <f>MATCH(G14,Data!$FH$18:$FL$18,0)</f>
        <v>#N/A</v>
      </c>
      <c r="EW14" s="169" t="e">
        <f>MATCH(N14,Data!$FG$19:$FG$25,0)</f>
        <v>#N/A</v>
      </c>
      <c r="EX14" s="330" t="e">
        <f>INDEX(Data!$FH$19:$FL$25,Shutters!EW14,Shutters!EV14)</f>
        <v>#N/A</v>
      </c>
    </row>
    <row r="15" spans="1:154" ht="36.75" customHeight="1">
      <c r="A15" s="52">
        <v>7</v>
      </c>
      <c r="B15" s="17"/>
      <c r="C15" s="14"/>
      <c r="D15" s="14"/>
      <c r="E15" s="14"/>
      <c r="F15" s="10"/>
      <c r="G15" s="13"/>
      <c r="H15" s="689"/>
      <c r="I15" s="763"/>
      <c r="J15" s="14"/>
      <c r="K15" s="144" t="str">
        <f t="shared" si="11"/>
        <v/>
      </c>
      <c r="L15" s="15"/>
      <c r="M15" s="15"/>
      <c r="N15" s="15"/>
      <c r="O15" s="15"/>
      <c r="P15" s="527"/>
      <c r="Q15" s="527"/>
      <c r="R15" s="13"/>
      <c r="S15" s="13"/>
      <c r="T15" s="13"/>
      <c r="U15" s="13"/>
      <c r="V15" s="15"/>
      <c r="W15" s="15"/>
      <c r="X15" s="16"/>
      <c r="Y15" s="16"/>
      <c r="Z15" s="14"/>
      <c r="AA15" s="14"/>
      <c r="AB15" s="14"/>
      <c r="AC15" s="18"/>
      <c r="AD15" s="164" t="str">
        <f t="shared" si="0"/>
        <v/>
      </c>
      <c r="AE15" s="229"/>
      <c r="AF15" s="230"/>
      <c r="AU15" s="108" t="str">
        <f t="shared" si="12"/>
        <v/>
      </c>
      <c r="AV15" s="65" t="e">
        <f t="shared" si="13"/>
        <v>#N/A</v>
      </c>
      <c r="AW15" s="169" t="e">
        <f>VLOOKUP(P15,Data!$MI$2:$MJ$4,2,FALSE)</f>
        <v>#N/A</v>
      </c>
      <c r="AX15" s="169" t="e">
        <f t="shared" si="14"/>
        <v>#N/A</v>
      </c>
      <c r="AY15" s="169" t="e">
        <f>VLOOKUP(N15,Data!$BI$24:$BJ$30,2,FALSE)</f>
        <v>#N/A</v>
      </c>
      <c r="AZ15" s="155" t="b">
        <f>IF(G15=Data!$BO$2,Data!$BS$2, IF(Shutters!G15=Data!$BP$2,Data!$BT$2, IF(Shutters!G15=Data!$BQ$2,Data!$BU$2)))</f>
        <v>0</v>
      </c>
      <c r="BA15" s="340" t="str">
        <f t="shared" si="15"/>
        <v>No</v>
      </c>
      <c r="BB15" s="155" t="e">
        <f t="shared" si="16"/>
        <v>#DIV/0!</v>
      </c>
      <c r="BC15" s="340" t="e">
        <f t="shared" si="17"/>
        <v>#DIV/0!</v>
      </c>
      <c r="BD15" s="155" t="e">
        <f t="shared" si="1"/>
        <v>#DIV/0!</v>
      </c>
      <c r="BE15" s="340" t="str">
        <f t="shared" si="18"/>
        <v>No</v>
      </c>
      <c r="BF15" s="155" t="str">
        <f t="shared" si="19"/>
        <v>NotRequired</v>
      </c>
      <c r="BG15" s="155" t="b">
        <f>IF(G15=Data!$BO$2,Data!$CM$2, IF(Shutters!G15=Data!$BP$2,Data!$CN$2, IF(Shutters!G15=Data!$BQ$2,Data!$CO$2)))</f>
        <v>0</v>
      </c>
      <c r="BH15" s="155" t="e">
        <f t="shared" si="20"/>
        <v>#DIV/0!</v>
      </c>
      <c r="BI15" s="156" t="str">
        <f t="shared" si="2"/>
        <v>NoHighlight</v>
      </c>
      <c r="BJ15" s="340" t="str">
        <f t="shared" si="21"/>
        <v>FauxwoodRPNo</v>
      </c>
      <c r="BK15" s="156" t="str">
        <f>IF(SUM(--ISNUMBER( SEARCH({"t","T"},O15))),"Yes","No")</f>
        <v>No</v>
      </c>
      <c r="BL15" s="156" t="str">
        <f t="shared" si="22"/>
        <v>OK</v>
      </c>
      <c r="BM15" s="156" t="str">
        <f t="shared" si="23"/>
        <v>OK</v>
      </c>
      <c r="BN15" s="156" t="str">
        <f t="shared" si="24"/>
        <v>OK</v>
      </c>
      <c r="BO15" s="156" t="e">
        <f>IF(OR(AND(F15&gt;1,#REF!="L",#REF!="l"),AND(F15&gt;1,#REF!="R",#REF!="r"),AND(F15&gt;2,#REF!="LR",#REF!="lr")), "Error","OK")</f>
        <v>#REF!</v>
      </c>
      <c r="BP15" s="156" t="str">
        <f t="shared" si="3"/>
        <v>FauxwoodAINo</v>
      </c>
      <c r="BQ15" s="156" t="str">
        <f>IF(SUM(--ISNUMBER(SEARCH({"combo","Combo","COMBO"}, B32))),"Yes","No")</f>
        <v>No</v>
      </c>
      <c r="BR15" s="156" t="str">
        <f t="shared" si="25"/>
        <v>No</v>
      </c>
      <c r="BS15" s="156" t="str">
        <f>IF(SUM(--ISNUMBER( SEARCH({"c","C","b","B"},#REF!))),"Yes","No")</f>
        <v>No</v>
      </c>
      <c r="BT15" s="157">
        <f t="shared" si="4"/>
        <v>0</v>
      </c>
      <c r="BU15" s="169" t="str">
        <f>IF(N15=Data!$BI$3,Data!$DR$3,IF(N15=Data!$BI$4,Data!$DS$3,IF(N15=Data!$BI$5,Data!$DT$3,IF(N15=Data!$BI$6,Data!$DU$3,IF(N15=Data!$BI$7,Data!$DV$3, IF(N15=Data!$BI$8,Data!$DX$3, IF(N15=Data!$BI$9,Data!$DW$3, "")))))))</f>
        <v/>
      </c>
      <c r="BV15" s="169" t="str">
        <f>IF(N15=Data!$BI$3,Data!$DY$3,IF(N15=Data!$BI$4,Data!$DZ$3,IF(N15=Data!$BI$5,Data!$EA$3,IF(N15=Data!$BI$6,Data!$EB$3,IF(N15=Data!$BI$7,Data!$EC$3,IF(N15=Data!$BI$8,Data!$EE$3, IF(N15=Data!$BI$9,Data!$ED$3,"")))))))</f>
        <v/>
      </c>
      <c r="BW15" s="157">
        <f t="shared" si="5"/>
        <v>0</v>
      </c>
      <c r="BX15" s="157">
        <f t="shared" si="6"/>
        <v>0</v>
      </c>
      <c r="BY15" s="169" t="e">
        <f t="shared" si="26"/>
        <v>#DIV/0!</v>
      </c>
      <c r="BZ15" s="330" t="b">
        <f>IF(G15=Data!$EU$2,Data!$ES$2,IF(G15=Data!$EU$3,Data!$ER$2, IF(G15=Data!$EU$5,Data!$ET$2, IF(G15=Data!$EU$4,Data!$EQ$2,IF(G15=Data!$EU$6,Data!$ER$2)))))</f>
        <v>0</v>
      </c>
      <c r="CA15" s="330" t="b">
        <f>IF(G15=Data!$EU$2,Data!$EW$2,IF(G15=Data!$EU$3,Data!$EX$2,IF(G15=Data!$EU$4,Data!$EY$2, IF(G15=Data!$EU$5,Data!$EY$2,IF(G15=Data!$EU$6,Data!$EX$2)))))</f>
        <v>0</v>
      </c>
      <c r="CB15" s="169" t="e">
        <f>VLOOKUP(M15,Data!$EJ$3:$EK$14,2,FALSE)</f>
        <v>#N/A</v>
      </c>
      <c r="CC15" s="169" t="str">
        <f>IF(J15="114mm",VLOOKUP(H15,Data!$FA$2:$FB$18,2,FALSE),"OK")</f>
        <v>OK</v>
      </c>
      <c r="CD15" s="169" t="e">
        <f t="shared" si="7"/>
        <v>#DIV/0!</v>
      </c>
      <c r="CE15" s="169" t="str">
        <f>IF(OR(AND(R15="",P15&lt;&gt;"")),VLOOKUP(P15,Data!$FC$2:$FD$18,2,FALSE),"")</f>
        <v/>
      </c>
      <c r="CF15" s="169" t="str">
        <f>IF(N15=Data!$BI$3,Data!$FJ$1,IF(N15=Data!$BI$4,Data!$FK$1,IF(N15=Data!$BI$5,Data!$FL$1,IF(N15=Data!$BI$6,Data!$FM$1,IF(N15=Data!$BI$7,Data!$FN$1, IF(N15=Data!$BI$8,Data!$FO$1, IF(N15=Data!$BI$9,Data!$FI$1, "")))))))</f>
        <v/>
      </c>
      <c r="CG15" s="169" t="str">
        <f>IF(SUM(--ISNUMBER(SEARCH({"z","Z"}, P15))),"Yes","No")</f>
        <v>No</v>
      </c>
      <c r="CH15" s="169" t="str">
        <f t="shared" si="8"/>
        <v>OK</v>
      </c>
      <c r="CI15" s="169">
        <f t="shared" si="27"/>
        <v>0</v>
      </c>
      <c r="CJ15" s="169" t="e">
        <f>VLOOKUP(O15,Data!$DO$4:$DP$156,2,FALSE)</f>
        <v>#N/A</v>
      </c>
      <c r="CK15" s="169" t="e">
        <f t="shared" si="9"/>
        <v>#N/A</v>
      </c>
      <c r="CL15" s="157"/>
      <c r="CM15" s="157"/>
      <c r="CN15" s="157"/>
      <c r="CO15" s="344" t="str">
        <f t="shared" si="28"/>
        <v>OK</v>
      </c>
      <c r="CP15" s="169" t="b">
        <f t="shared" si="29"/>
        <v>0</v>
      </c>
      <c r="CQ15" s="169">
        <f t="shared" si="30"/>
        <v>0</v>
      </c>
      <c r="CR15" s="169">
        <f t="shared" si="31"/>
        <v>1</v>
      </c>
      <c r="CS15" s="169">
        <f t="shared" si="32"/>
        <v>0</v>
      </c>
      <c r="CT15" s="157" t="e">
        <f t="shared" si="33"/>
        <v>#DIV/0!</v>
      </c>
      <c r="CU15" s="169" t="b">
        <f>IF(H15=Data!$BD$3,Data!$HC$2,IF(H15=Data!$BD$4,Data!$HM$2,IF(H15=Data!$BD$5,Data!$HF$2,IF(H15=Data!$BD$6,Data!$HB$2,IF(H15=Data!$BD$7,Data!$HD$2,IF(H15=Data!$BD$8,Data!$HJ$2,IF(H15=Data!$BD$9,Data!$HN$2,IF(H15=Data!$BD$10,Data!$HA$2,IF(H15=Data!$BD$11,Data!$HI$2)))))))))</f>
        <v>0</v>
      </c>
      <c r="CV15" s="276" t="b">
        <f>IF(H15=Data!$BE$3,Data!$HQ$2, IF(H15=Data!$BE$4,Data!$HP$2, IF(H15=Data!$BE$5,Data!$HR$2, IF(H15=Data!$BE$6,Data!$HO$2))))</f>
        <v>0</v>
      </c>
      <c r="CW15" s="330" t="b">
        <f>IF(H15=Data!$BH$3,Data!$HU$2, IF(H15=Data!$BH$4,Data!$HT$2, IF(H15=Data!$BH$5,Data!$HS$2)))</f>
        <v>0</v>
      </c>
      <c r="CX15" s="330" t="b">
        <f>IF(H15=Data!$BF$3,Data!$HQ$16, IF(H15=Data!$BF$4,Data!$HP$16, IF(H15=Data!$BF$5,Data!$HR$16, IF(H15=Data!$BF$6,Data!$HO$16))))</f>
        <v>0</v>
      </c>
      <c r="CY15" s="330" t="b">
        <f>IF(G15=Data!$BC$3,Shutters!CU15,IF(G15=Data!$BC$4,Shutters!CV15,IF(G15=Data!$BC$6,Shutters!CW15, IF(G15=Data!$BC$5, Shutters!CX15,IF(G15=Data!$BC$7,Shutters!CV15)))))</f>
        <v>0</v>
      </c>
      <c r="CZ15" s="157" t="e">
        <f>IF(OR(AND(L15&gt;0,#REF!="")), "Error","OK")</f>
        <v>#REF!</v>
      </c>
      <c r="DA15" s="169" t="e">
        <f>IF(COUNTIF(#REF!,Data!$CX$6),"Yes","")</f>
        <v>#REF!</v>
      </c>
      <c r="DB15" s="54" t="str">
        <f t="shared" si="34"/>
        <v/>
      </c>
      <c r="DE15" s="54" t="str">
        <f>IF(N15=Data!$BI$5,"Yes",IF(N15=Data!$BI$6,"Yes","No"))</f>
        <v>No</v>
      </c>
      <c r="DF15" s="65" t="b">
        <f>IF(N15=Data!$BI$3,Data!$JB$2,IF(N15=Data!$BI$4,Data!$JC$2,IF(N15=Data!$BI$5,Data!$JD$2,IF(N15=Data!$BI$6,Data!$JE$2,IF(N15=Data!$BI$7,Data!$JF$2, IF(N15=Data!$BI$8,Data!$JA$2, IF(N15=Data!$BI$9,Data!$JG$2)))))))</f>
        <v>0</v>
      </c>
      <c r="DI15" s="65" t="e">
        <f>VLOOKUP(O15,Data!$DO$4:$DQ$156,3,FALSE)</f>
        <v>#N/A</v>
      </c>
      <c r="DJ15" s="54" t="e">
        <f t="shared" si="10"/>
        <v>#N/A</v>
      </c>
      <c r="DK15" s="54" t="e">
        <f t="shared" si="35"/>
        <v>#N/A</v>
      </c>
      <c r="DL15" s="54" t="b">
        <f>IF(P15=Data!$BK$3,Data!$JH$2,IF(P15=Data!$BK$4,Data!$JI$2,IF(P15=Data!$BK$5,Data!$JJ$2,IF(P15=Data!$BK$6,Data!$JK$2,IF(P15=Data!$BK$7,Data!$JL$2,IF(P15=Data!$BK$8,Data!$JM$2,IF(P15=Data!$BK$9,Data!$JN$2,IF(P15=Data!$BK$10,Data!$JO$2,IF(P15=Data!$BK$11,Data!$JP$2,IF(P15=Data!$BK$12,Data!$JQ$2,IF(P15=Data!$BK$13,Data!$JR$2,IF(P15=Data!$BK$14,Data!$JS$2,IF(P15=Data!$BK$15,Data!$JT$2,IF(P15=Data!$BK$16,Data!$JU$2,IF(P15=Data!$BK$17,Data!$JV$2,IF(P15=Data!$BK$18,Data!$JW$2, IF(P15=Data!$BK$19,Data!$JX$2, IF(P15=Data!$BK$20,Data!$JY$2))))))))))))))))))</f>
        <v>0</v>
      </c>
      <c r="DN15" s="169" t="str">
        <f t="shared" si="36"/>
        <v/>
      </c>
      <c r="DO15" s="169" t="e">
        <f t="shared" si="37"/>
        <v>#N/A</v>
      </c>
      <c r="DP15" s="169" t="str">
        <f t="shared" si="38"/>
        <v>OK</v>
      </c>
      <c r="DQ15" s="169" t="str">
        <f t="shared" si="39"/>
        <v>OK</v>
      </c>
      <c r="DR15" s="169" t="str">
        <f t="shared" si="40"/>
        <v>OK</v>
      </c>
      <c r="DS15" s="169" t="str">
        <f t="shared" si="41"/>
        <v>OK</v>
      </c>
      <c r="DT15" s="65" t="b">
        <f>IF(N15=Data!$LW$2,Data!$LX$1,IF(N15=Data!$LW$3,Data!$LY$1,IF(N15=Data!$LW$4,Data!$LZ$1,IF(N15=Data!$LW$5,Data!$MA$1,IF(N15=Data!$LW$6,Data!$MB$1,IF(N15=Data!$LW$7,Data!$MC$1, IF(N15=Data!$LW$8,Data!$MX$1)))))))</f>
        <v>0</v>
      </c>
      <c r="DU15" s="65" t="b">
        <f>IF(E15=Data!$MD$2,Data!$ME$2, IF(E15=Data!$MD$3,Data!$MF$2, IF(E15=Data!$MD$4,Data!$MG$2)))</f>
        <v>0</v>
      </c>
      <c r="DV15" s="54" t="str">
        <f>IF(E15="MS", Data!$AK$1, Data!$EJ$2)</f>
        <v>Special_Window</v>
      </c>
      <c r="DW15" s="65" t="str">
        <f>IF(OR(AND(S15="",P15&lt;&gt;"")),VLOOKUP(P15,Data!$FC$2:$FD$18,2,FALSE),"")</f>
        <v/>
      </c>
      <c r="DX15" s="65" t="str">
        <f>IF(OR(AND(T15="",P15&lt;&gt;"")),VLOOKUP(P15,Data!$FC$2:$FD$18,2,FALSE),"")</f>
        <v/>
      </c>
      <c r="DY15" s="65" t="str">
        <f>IF(OR(AND(U15="",P15&lt;&gt;"")),VLOOKUP(P15,Data!$FC$2:$FD$18,2,FALSE),"")</f>
        <v/>
      </c>
      <c r="DZ15" s="157" t="e">
        <f>VLOOKUP(N15,Data!$MK$2:$ML$8,2,FALSE)</f>
        <v>#N/A</v>
      </c>
      <c r="EA15" s="65" t="e">
        <f>VLOOKUP(O15,Data!$DO$4:$DO$157,1,FALSE)</f>
        <v>#N/A</v>
      </c>
      <c r="EB15" s="65" t="e">
        <f t="shared" si="42"/>
        <v>#N/A</v>
      </c>
      <c r="EC15" s="54" t="str">
        <f t="shared" si="43"/>
        <v/>
      </c>
      <c r="ED15" s="157" t="str">
        <f t="shared" si="44"/>
        <v>OK</v>
      </c>
      <c r="EE15" s="169" t="b">
        <f>IF(P15=Data!$NN$3,Data!$NO$2, IF(P15=Data!$NN$4,Data!$NP$2, IF(P15=Data!$NN$5,Data!$NQ$2, IF(P15=Data!$NN$6,Data!$NR$2, IF(P15=Data!$NN$7,Data!$NS$2, IF(P15=Data!$NN$8,Data!$NT$2, IF(P15=Data!$NN$9,Data!$NU$2, IF(P15=Data!$NN$10,Data!$NV$2, IF(P15=Data!$NN$11,Data!$NW$2, IF(P15=Data!$NN$12,Data!$NX$2, IF(P15=Data!$NN$13,Data!$NY$2, IF(P15=Data!$NN$14,Data!$NZ$2, IF(P15=Data!$NN$15,Data!$OA$2, IF(P15=Data!$NN$16,Data!$OB$2, IF(P15=Data!$NN$17,Data!$OC$2, IF(P15=Data!$NN$18,Data!$OD$2, IF(P15=Data!$NN$19,Data!$OE$2, IF(P15=Data!$NN$20,Data!$OG$2))))))))))))))))))</f>
        <v>0</v>
      </c>
      <c r="EF15" s="169" t="b">
        <f>IF(P15=Data!$NN$3,Data!$NO$15,IF(P15=Data!$NN$4,Data!$NP$15,IF(P15=Data!$NN$5,Data!$NQ$15,IF(P15=Data!$NN$6,Data!$NR$15,IF(P15=Data!$NN$7,Data!$NS$15,IF(P15=Data!$NN$8,Data!$NT$15,IF(P15=Data!$NN$9,Data!$NU$15,IF(P15=Data!$NN$10,Data!$NV$15,IF(P15=Data!$NN$11,Data!$NW$15,IF(P15=Data!$NN$12,Data!$NX$15,IF(P15=Data!$NN$13,Data!$NY$15,IF(P15=Data!$NN$14,Data!$NZ$15,IF(N15=Data!$NN$22,Data!$OA$15,IF(N15=Data!$NN$23,Data!$OB$15,IF(P15=Data!$NN$19,Data!$OC$15, IF(P15=Data!$NN$20,Data!$OG$15))))))))))))))))</f>
        <v>0</v>
      </c>
      <c r="EG15" s="330" t="e">
        <f>MATCH(G15, Data!$CW$10:$CW$14,0)</f>
        <v>#N/A</v>
      </c>
      <c r="EH15" s="169" t="e">
        <f>MATCH(J15,Data!$CX$9:$DA$9,0)</f>
        <v>#N/A</v>
      </c>
      <c r="EI15" s="334" t="e">
        <f>INDEX(Data!$CX$10:$DA$14,Shutters!EG15,Shutters!EH15)</f>
        <v>#N/A</v>
      </c>
      <c r="EJ15" s="169" t="str">
        <f>IF(SUM(--ISNUMBER(SEARCH({"combo","Combo","COMBO"}, B32))),"Yes","No")</f>
        <v>No</v>
      </c>
      <c r="EK15" s="169" t="str">
        <f>IF(SUM(--ISNUMBER(SEARCH({"combo","Combo","COMBO"}, F32))),"Yes","No")</f>
        <v>No</v>
      </c>
      <c r="EL15" s="169" t="str">
        <f t="shared" si="45"/>
        <v>No</v>
      </c>
      <c r="EM15" s="157">
        <f t="shared" si="46"/>
        <v>1</v>
      </c>
      <c r="EN15" s="157" t="e">
        <f t="shared" si="47"/>
        <v>#DIV/0!</v>
      </c>
      <c r="EO15" s="169" t="str">
        <f t="shared" si="48"/>
        <v/>
      </c>
      <c r="EP15" s="330" t="str">
        <f t="shared" si="49"/>
        <v/>
      </c>
      <c r="EQ15" s="330" t="str">
        <f t="shared" si="50"/>
        <v/>
      </c>
      <c r="ER15" s="169" t="str">
        <f t="shared" si="51"/>
        <v/>
      </c>
      <c r="ES15" s="169" t="str">
        <f t="shared" si="52"/>
        <v/>
      </c>
      <c r="ET15" s="169" t="str">
        <f t="shared" si="53"/>
        <v/>
      </c>
      <c r="EU15" s="264" t="str">
        <f t="shared" si="54"/>
        <v>No</v>
      </c>
      <c r="EV15" s="330" t="e">
        <f>MATCH(G15,Data!$FH$18:$FL$18,0)</f>
        <v>#N/A</v>
      </c>
      <c r="EW15" s="169" t="e">
        <f>MATCH(N15,Data!$FG$19:$FG$25,0)</f>
        <v>#N/A</v>
      </c>
      <c r="EX15" s="330" t="e">
        <f>INDEX(Data!$FH$19:$FL$25,Shutters!EW15,Shutters!EV15)</f>
        <v>#N/A</v>
      </c>
    </row>
    <row r="16" spans="1:154" ht="36.75" customHeight="1">
      <c r="A16" s="52">
        <v>8</v>
      </c>
      <c r="B16" s="17"/>
      <c r="C16" s="14"/>
      <c r="D16" s="14"/>
      <c r="E16" s="14"/>
      <c r="F16" s="10"/>
      <c r="G16" s="13"/>
      <c r="H16" s="689"/>
      <c r="I16" s="763"/>
      <c r="J16" s="14"/>
      <c r="K16" s="144" t="str">
        <f t="shared" si="11"/>
        <v/>
      </c>
      <c r="L16" s="15"/>
      <c r="M16" s="15"/>
      <c r="N16" s="15"/>
      <c r="O16" s="15"/>
      <c r="P16" s="527"/>
      <c r="Q16" s="527"/>
      <c r="R16" s="13"/>
      <c r="S16" s="13"/>
      <c r="T16" s="13"/>
      <c r="U16" s="13"/>
      <c r="V16" s="15"/>
      <c r="W16" s="15"/>
      <c r="X16" s="16"/>
      <c r="Y16" s="16"/>
      <c r="Z16" s="14"/>
      <c r="AA16" s="14"/>
      <c r="AB16" s="14"/>
      <c r="AC16" s="18"/>
      <c r="AD16" s="164" t="str">
        <f t="shared" si="0"/>
        <v/>
      </c>
      <c r="AE16" s="229"/>
      <c r="AF16" s="230"/>
      <c r="AU16" s="108" t="str">
        <f t="shared" si="12"/>
        <v/>
      </c>
      <c r="AV16" s="65" t="e">
        <f t="shared" si="13"/>
        <v>#N/A</v>
      </c>
      <c r="AW16" s="169" t="e">
        <f>VLOOKUP(P16,Data!$MI$2:$MJ$4,2,FALSE)</f>
        <v>#N/A</v>
      </c>
      <c r="AX16" s="169" t="e">
        <f t="shared" si="14"/>
        <v>#N/A</v>
      </c>
      <c r="AY16" s="169" t="e">
        <f>VLOOKUP(N16,Data!$BI$24:$BJ$30,2,FALSE)</f>
        <v>#N/A</v>
      </c>
      <c r="AZ16" s="155" t="b">
        <f>IF(G16=Data!$BO$2,Data!$BS$2, IF(Shutters!G16=Data!$BP$2,Data!$BT$2, IF(Shutters!G16=Data!$BQ$2,Data!$BU$2)))</f>
        <v>0</v>
      </c>
      <c r="BA16" s="340" t="str">
        <f t="shared" si="15"/>
        <v>No</v>
      </c>
      <c r="BB16" s="155" t="e">
        <f t="shared" si="16"/>
        <v>#DIV/0!</v>
      </c>
      <c r="BC16" s="340" t="e">
        <f t="shared" si="17"/>
        <v>#DIV/0!</v>
      </c>
      <c r="BD16" s="155" t="e">
        <f t="shared" si="1"/>
        <v>#DIV/0!</v>
      </c>
      <c r="BE16" s="340" t="str">
        <f t="shared" si="18"/>
        <v>No</v>
      </c>
      <c r="BF16" s="155" t="str">
        <f t="shared" si="19"/>
        <v>NotRequired</v>
      </c>
      <c r="BG16" s="155" t="b">
        <f>IF(G16=Data!$BO$2,Data!$CM$2, IF(Shutters!G16=Data!$BP$2,Data!$CN$2, IF(Shutters!G16=Data!$BQ$2,Data!$CO$2)))</f>
        <v>0</v>
      </c>
      <c r="BH16" s="155" t="e">
        <f t="shared" si="20"/>
        <v>#DIV/0!</v>
      </c>
      <c r="BI16" s="156" t="str">
        <f t="shared" si="2"/>
        <v>NoHighlight</v>
      </c>
      <c r="BJ16" s="340" t="str">
        <f t="shared" si="21"/>
        <v>FauxwoodRPNo</v>
      </c>
      <c r="BK16" s="156" t="str">
        <f>IF(SUM(--ISNUMBER( SEARCH({"t","T"},O16))),"Yes","No")</f>
        <v>No</v>
      </c>
      <c r="BL16" s="156" t="str">
        <f t="shared" si="22"/>
        <v>OK</v>
      </c>
      <c r="BM16" s="156" t="str">
        <f t="shared" si="23"/>
        <v>OK</v>
      </c>
      <c r="BN16" s="156" t="str">
        <f t="shared" si="24"/>
        <v>OK</v>
      </c>
      <c r="BO16" s="156" t="e">
        <f>IF(OR(AND(F16&gt;1,#REF!="L",#REF!="l"),AND(F16&gt;1,#REF!="R",#REF!="r"),AND(F16&gt;2,#REF!="LR",#REF!="lr")), "Error","OK")</f>
        <v>#REF!</v>
      </c>
      <c r="BP16" s="156" t="str">
        <f t="shared" si="3"/>
        <v>FauxwoodAINo</v>
      </c>
      <c r="BQ16" s="156" t="str">
        <f>IF(SUM(--ISNUMBER(SEARCH({"combo","Combo","COMBO"}, B33))),"Yes","No")</f>
        <v>No</v>
      </c>
      <c r="BR16" s="156" t="str">
        <f t="shared" si="25"/>
        <v>No</v>
      </c>
      <c r="BS16" s="156" t="str">
        <f>IF(SUM(--ISNUMBER( SEARCH({"c","C","b","B"},#REF!))),"Yes","No")</f>
        <v>No</v>
      </c>
      <c r="BT16" s="157">
        <f t="shared" si="4"/>
        <v>0</v>
      </c>
      <c r="BU16" s="169" t="str">
        <f>IF(N16=Data!$BI$3,Data!$DR$3,IF(N16=Data!$BI$4,Data!$DS$3,IF(N16=Data!$BI$5,Data!$DT$3,IF(N16=Data!$BI$6,Data!$DU$3,IF(N16=Data!$BI$7,Data!$DV$3, IF(N16=Data!$BI$8,Data!$DX$3, IF(N16=Data!$BI$9,Data!$DW$3, "")))))))</f>
        <v/>
      </c>
      <c r="BV16" s="169" t="str">
        <f>IF(N16=Data!$BI$3,Data!$DY$3,IF(N16=Data!$BI$4,Data!$DZ$3,IF(N16=Data!$BI$5,Data!$EA$3,IF(N16=Data!$BI$6,Data!$EB$3,IF(N16=Data!$BI$7,Data!$EC$3,IF(N16=Data!$BI$8,Data!$EE$3, IF(N16=Data!$BI$9,Data!$ED$3,"")))))))</f>
        <v/>
      </c>
      <c r="BW16" s="157">
        <f t="shared" si="5"/>
        <v>0</v>
      </c>
      <c r="BX16" s="157">
        <f t="shared" si="6"/>
        <v>0</v>
      </c>
      <c r="BY16" s="169" t="e">
        <f t="shared" si="26"/>
        <v>#DIV/0!</v>
      </c>
      <c r="BZ16" s="330" t="b">
        <f>IF(G16=Data!$EU$2,Data!$ES$2,IF(G16=Data!$EU$3,Data!$ER$2, IF(G16=Data!$EU$5,Data!$ET$2, IF(G16=Data!$EU$4,Data!$EQ$2,IF(G16=Data!$EU$6,Data!$ER$2)))))</f>
        <v>0</v>
      </c>
      <c r="CA16" s="330" t="b">
        <f>IF(G16=Data!$EU$2,Data!$EW$2,IF(G16=Data!$EU$3,Data!$EX$2,IF(G16=Data!$EU$4,Data!$EY$2, IF(G16=Data!$EU$5,Data!$EY$2,IF(G16=Data!$EU$6,Data!$EX$2)))))</f>
        <v>0</v>
      </c>
      <c r="CB16" s="169" t="e">
        <f>VLOOKUP(M16,Data!$EJ$3:$EK$14,2,FALSE)</f>
        <v>#N/A</v>
      </c>
      <c r="CC16" s="169" t="str">
        <f>IF(J16="114mm",VLOOKUP(H16,Data!$FA$2:$FB$18,2,FALSE),"OK")</f>
        <v>OK</v>
      </c>
      <c r="CD16" s="169" t="e">
        <f t="shared" si="7"/>
        <v>#DIV/0!</v>
      </c>
      <c r="CE16" s="169" t="str">
        <f>IF(OR(AND(R16="",P16&lt;&gt;"")),VLOOKUP(P16,Data!$FC$2:$FD$18,2,FALSE),"")</f>
        <v/>
      </c>
      <c r="CF16" s="169" t="str">
        <f>IF(N16=Data!$BI$3,Data!$FJ$1,IF(N16=Data!$BI$4,Data!$FK$1,IF(N16=Data!$BI$5,Data!$FL$1,IF(N16=Data!$BI$6,Data!$FM$1,IF(N16=Data!$BI$7,Data!$FN$1, IF(N16=Data!$BI$8,Data!$FO$1, IF(N16=Data!$BI$9,Data!$FI$1, "")))))))</f>
        <v/>
      </c>
      <c r="CG16" s="169" t="str">
        <f>IF(SUM(--ISNUMBER(SEARCH({"z","Z"}, P16))),"Yes","No")</f>
        <v>No</v>
      </c>
      <c r="CH16" s="169" t="str">
        <f t="shared" si="8"/>
        <v>OK</v>
      </c>
      <c r="CI16" s="169">
        <f t="shared" si="27"/>
        <v>0</v>
      </c>
      <c r="CJ16" s="169" t="e">
        <f>VLOOKUP(O16,Data!$DO$4:$DP$156,2,FALSE)</f>
        <v>#N/A</v>
      </c>
      <c r="CK16" s="169" t="e">
        <f t="shared" si="9"/>
        <v>#N/A</v>
      </c>
      <c r="CL16" s="157"/>
      <c r="CM16" s="157"/>
      <c r="CN16" s="157"/>
      <c r="CO16" s="344" t="str">
        <f t="shared" si="28"/>
        <v>OK</v>
      </c>
      <c r="CP16" s="169" t="b">
        <f t="shared" si="29"/>
        <v>0</v>
      </c>
      <c r="CQ16" s="169">
        <f t="shared" si="30"/>
        <v>0</v>
      </c>
      <c r="CR16" s="169">
        <f t="shared" si="31"/>
        <v>1</v>
      </c>
      <c r="CS16" s="169">
        <f t="shared" si="32"/>
        <v>0</v>
      </c>
      <c r="CT16" s="157" t="e">
        <f t="shared" si="33"/>
        <v>#DIV/0!</v>
      </c>
      <c r="CU16" s="169" t="b">
        <f>IF(H16=Data!$BD$3,Data!$HC$2,IF(H16=Data!$BD$4,Data!$HM$2,IF(H16=Data!$BD$5,Data!$HF$2,IF(H16=Data!$BD$6,Data!$HB$2,IF(H16=Data!$BD$7,Data!$HD$2,IF(H16=Data!$BD$8,Data!$HJ$2,IF(H16=Data!$BD$9,Data!$HN$2,IF(H16=Data!$BD$10,Data!$HA$2,IF(H16=Data!$BD$11,Data!$HI$2)))))))))</f>
        <v>0</v>
      </c>
      <c r="CV16" s="276" t="b">
        <f>IF(H16=Data!$BE$3,Data!$HQ$2, IF(H16=Data!$BE$4,Data!$HP$2, IF(H16=Data!$BE$5,Data!$HR$2, IF(H16=Data!$BE$6,Data!$HO$2))))</f>
        <v>0</v>
      </c>
      <c r="CW16" s="330" t="b">
        <f>IF(H16=Data!$BH$3,Data!$HU$2, IF(H16=Data!$BH$4,Data!$HT$2, IF(H16=Data!$BH$5,Data!$HS$2)))</f>
        <v>0</v>
      </c>
      <c r="CX16" s="330" t="b">
        <f>IF(H16=Data!$BF$3,Data!$HQ$16, IF(H16=Data!$BF$4,Data!$HP$16, IF(H16=Data!$BF$5,Data!$HR$16, IF(H16=Data!$BF$6,Data!$HO$16))))</f>
        <v>0</v>
      </c>
      <c r="CY16" s="330" t="b">
        <f>IF(G16=Data!$BC$3,Shutters!CU16,IF(G16=Data!$BC$4,Shutters!CV16,IF(G16=Data!$BC$6,Shutters!CW16, IF(G16=Data!$BC$5, Shutters!CX16,IF(G16=Data!$BC$7,Shutters!CV16)))))</f>
        <v>0</v>
      </c>
      <c r="CZ16" s="157" t="e">
        <f>IF(OR(AND(L16&gt;0,#REF!="")), "Error","OK")</f>
        <v>#REF!</v>
      </c>
      <c r="DA16" s="169" t="e">
        <f>IF(COUNTIF(#REF!,Data!$CX$6),"Yes","")</f>
        <v>#REF!</v>
      </c>
      <c r="DB16" s="54" t="str">
        <f t="shared" si="34"/>
        <v/>
      </c>
      <c r="DE16" s="54" t="str">
        <f>IF(N16=Data!$BI$5,"Yes",IF(N16=Data!$BI$6,"Yes","No"))</f>
        <v>No</v>
      </c>
      <c r="DF16" s="65" t="b">
        <f>IF(N16=Data!$BI$3,Data!$JB$2,IF(N16=Data!$BI$4,Data!$JC$2,IF(N16=Data!$BI$5,Data!$JD$2,IF(N16=Data!$BI$6,Data!$JE$2,IF(N16=Data!$BI$7,Data!$JF$2, IF(N16=Data!$BI$8,Data!$JA$2, IF(N16=Data!$BI$9,Data!$JG$2)))))))</f>
        <v>0</v>
      </c>
      <c r="DI16" s="65" t="e">
        <f>VLOOKUP(O16,Data!$DO$4:$DQ$156,3,FALSE)</f>
        <v>#N/A</v>
      </c>
      <c r="DJ16" s="54" t="e">
        <f t="shared" si="10"/>
        <v>#N/A</v>
      </c>
      <c r="DK16" s="54" t="e">
        <f t="shared" si="35"/>
        <v>#N/A</v>
      </c>
      <c r="DL16" s="54" t="b">
        <f>IF(P16=Data!$BK$3,Data!$JH$2,IF(P16=Data!$BK$4,Data!$JI$2,IF(P16=Data!$BK$5,Data!$JJ$2,IF(P16=Data!$BK$6,Data!$JK$2,IF(P16=Data!$BK$7,Data!$JL$2,IF(P16=Data!$BK$8,Data!$JM$2,IF(P16=Data!$BK$9,Data!$JN$2,IF(P16=Data!$BK$10,Data!$JO$2,IF(P16=Data!$BK$11,Data!$JP$2,IF(P16=Data!$BK$12,Data!$JQ$2,IF(P16=Data!$BK$13,Data!$JR$2,IF(P16=Data!$BK$14,Data!$JS$2,IF(P16=Data!$BK$15,Data!$JT$2,IF(P16=Data!$BK$16,Data!$JU$2,IF(P16=Data!$BK$17,Data!$JV$2,IF(P16=Data!$BK$18,Data!$JW$2, IF(P16=Data!$BK$19,Data!$JX$2, IF(P16=Data!$BK$20,Data!$JY$2))))))))))))))))))</f>
        <v>0</v>
      </c>
      <c r="DN16" s="169" t="str">
        <f t="shared" si="36"/>
        <v/>
      </c>
      <c r="DO16" s="169" t="e">
        <f t="shared" si="37"/>
        <v>#N/A</v>
      </c>
      <c r="DP16" s="169" t="str">
        <f t="shared" si="38"/>
        <v>OK</v>
      </c>
      <c r="DQ16" s="169" t="str">
        <f t="shared" si="39"/>
        <v>OK</v>
      </c>
      <c r="DR16" s="169" t="str">
        <f t="shared" si="40"/>
        <v>OK</v>
      </c>
      <c r="DS16" s="169" t="str">
        <f t="shared" si="41"/>
        <v>OK</v>
      </c>
      <c r="DT16" s="65" t="b">
        <f>IF(N16=Data!$LW$2,Data!$LX$1,IF(N16=Data!$LW$3,Data!$LY$1,IF(N16=Data!$LW$4,Data!$LZ$1,IF(N16=Data!$LW$5,Data!$MA$1,IF(N16=Data!$LW$6,Data!$MB$1,IF(N16=Data!$LW$7,Data!$MC$1, IF(N16=Data!$LW$8,Data!$MX$1)))))))</f>
        <v>0</v>
      </c>
      <c r="DU16" s="65" t="b">
        <f>IF(E16=Data!$MD$2,Data!$ME$2, IF(E16=Data!$MD$3,Data!$MF$2, IF(E16=Data!$MD$4,Data!$MG$2)))</f>
        <v>0</v>
      </c>
      <c r="DV16" s="54" t="str">
        <f>IF(E16="MS", Data!$AK$1, Data!$EJ$2)</f>
        <v>Special_Window</v>
      </c>
      <c r="DW16" s="65" t="str">
        <f>IF(OR(AND(S16="",P16&lt;&gt;"")),VLOOKUP(P16,Data!$FC$2:$FD$18,2,FALSE),"")</f>
        <v/>
      </c>
      <c r="DX16" s="65" t="str">
        <f>IF(OR(AND(T16="",P16&lt;&gt;"")),VLOOKUP(P16,Data!$FC$2:$FD$18,2,FALSE),"")</f>
        <v/>
      </c>
      <c r="DY16" s="65" t="str">
        <f>IF(OR(AND(U16="",P16&lt;&gt;"")),VLOOKUP(P16,Data!$FC$2:$FD$18,2,FALSE),"")</f>
        <v/>
      </c>
      <c r="DZ16" s="157" t="e">
        <f>VLOOKUP(N16,Data!$MK$2:$ML$8,2,FALSE)</f>
        <v>#N/A</v>
      </c>
      <c r="EA16" s="65" t="e">
        <f>VLOOKUP(O16,Data!$DO$4:$DO$157,1,FALSE)</f>
        <v>#N/A</v>
      </c>
      <c r="EB16" s="65" t="e">
        <f t="shared" si="42"/>
        <v>#N/A</v>
      </c>
      <c r="EC16" s="54" t="str">
        <f t="shared" si="43"/>
        <v/>
      </c>
      <c r="ED16" s="157" t="str">
        <f t="shared" si="44"/>
        <v>OK</v>
      </c>
      <c r="EE16" s="169" t="b">
        <f>IF(P16=Data!$NN$3,Data!$NO$2, IF(P16=Data!$NN$4,Data!$NP$2, IF(P16=Data!$NN$5,Data!$NQ$2, IF(P16=Data!$NN$6,Data!$NR$2, IF(P16=Data!$NN$7,Data!$NS$2, IF(P16=Data!$NN$8,Data!$NT$2, IF(P16=Data!$NN$9,Data!$NU$2, IF(P16=Data!$NN$10,Data!$NV$2, IF(P16=Data!$NN$11,Data!$NW$2, IF(P16=Data!$NN$12,Data!$NX$2, IF(P16=Data!$NN$13,Data!$NY$2, IF(P16=Data!$NN$14,Data!$NZ$2, IF(P16=Data!$NN$15,Data!$OA$2, IF(P16=Data!$NN$16,Data!$OB$2, IF(P16=Data!$NN$17,Data!$OC$2, IF(P16=Data!$NN$18,Data!$OD$2, IF(P16=Data!$NN$19,Data!$OE$2, IF(P16=Data!$NN$20,Data!$OG$2))))))))))))))))))</f>
        <v>0</v>
      </c>
      <c r="EF16" s="169" t="b">
        <f>IF(P16=Data!$NN$3,Data!$NO$15,IF(P16=Data!$NN$4,Data!$NP$15,IF(P16=Data!$NN$5,Data!$NQ$15,IF(P16=Data!$NN$6,Data!$NR$15,IF(P16=Data!$NN$7,Data!$NS$15,IF(P16=Data!$NN$8,Data!$NT$15,IF(P16=Data!$NN$9,Data!$NU$15,IF(P16=Data!$NN$10,Data!$NV$15,IF(P16=Data!$NN$11,Data!$NW$15,IF(P16=Data!$NN$12,Data!$NX$15,IF(P16=Data!$NN$13,Data!$NY$15,IF(P16=Data!$NN$14,Data!$NZ$15,IF(N16=Data!$NN$22,Data!$OA$15,IF(N16=Data!$NN$23,Data!$OB$15,IF(P16=Data!$NN$19,Data!$OC$15, IF(P16=Data!$NN$20,Data!$OG$15))))))))))))))))</f>
        <v>0</v>
      </c>
      <c r="EG16" s="330" t="e">
        <f>MATCH(G16, Data!$CW$10:$CW$14,0)</f>
        <v>#N/A</v>
      </c>
      <c r="EH16" s="169" t="e">
        <f>MATCH(J16,Data!$CX$9:$DA$9,0)</f>
        <v>#N/A</v>
      </c>
      <c r="EI16" s="334" t="e">
        <f>INDEX(Data!$CX$10:$DA$14,Shutters!EG16,Shutters!EH16)</f>
        <v>#N/A</v>
      </c>
      <c r="EJ16" s="169" t="str">
        <f>IF(SUM(--ISNUMBER(SEARCH({"combo","Combo","COMBO"}, B33))),"Yes","No")</f>
        <v>No</v>
      </c>
      <c r="EK16" s="169" t="str">
        <f>IF(SUM(--ISNUMBER(SEARCH({"combo","Combo","COMBO"}, F33))),"Yes","No")</f>
        <v>No</v>
      </c>
      <c r="EL16" s="169" t="str">
        <f t="shared" si="45"/>
        <v>No</v>
      </c>
      <c r="EM16" s="157">
        <f t="shared" si="46"/>
        <v>1</v>
      </c>
      <c r="EN16" s="157" t="e">
        <f t="shared" si="47"/>
        <v>#DIV/0!</v>
      </c>
      <c r="EO16" s="169" t="str">
        <f t="shared" si="48"/>
        <v/>
      </c>
      <c r="EP16" s="330" t="str">
        <f t="shared" si="49"/>
        <v/>
      </c>
      <c r="EQ16" s="330" t="str">
        <f t="shared" si="50"/>
        <v/>
      </c>
      <c r="ER16" s="169" t="str">
        <f t="shared" si="51"/>
        <v/>
      </c>
      <c r="ES16" s="169" t="str">
        <f t="shared" si="52"/>
        <v/>
      </c>
      <c r="ET16" s="169" t="str">
        <f t="shared" si="53"/>
        <v/>
      </c>
      <c r="EU16" s="264" t="str">
        <f t="shared" si="54"/>
        <v>No</v>
      </c>
      <c r="EV16" s="330" t="e">
        <f>MATCH(G16,Data!$FH$18:$FL$18,0)</f>
        <v>#N/A</v>
      </c>
      <c r="EW16" s="169" t="e">
        <f>MATCH(N16,Data!$FG$19:$FG$25,0)</f>
        <v>#N/A</v>
      </c>
      <c r="EX16" s="330" t="e">
        <f>INDEX(Data!$FH$19:$FL$25,Shutters!EW16,Shutters!EV16)</f>
        <v>#N/A</v>
      </c>
    </row>
    <row r="17" spans="1:154" ht="36.75" customHeight="1">
      <c r="A17" s="52">
        <v>9</v>
      </c>
      <c r="B17" s="17"/>
      <c r="C17" s="14"/>
      <c r="D17" s="14"/>
      <c r="E17" s="14"/>
      <c r="F17" s="10"/>
      <c r="G17" s="13"/>
      <c r="H17" s="689"/>
      <c r="I17" s="763"/>
      <c r="J17" s="14"/>
      <c r="K17" s="144" t="str">
        <f t="shared" si="11"/>
        <v/>
      </c>
      <c r="L17" s="15"/>
      <c r="M17" s="15"/>
      <c r="N17" s="15"/>
      <c r="O17" s="15"/>
      <c r="P17" s="527"/>
      <c r="Q17" s="527"/>
      <c r="R17" s="13"/>
      <c r="S17" s="13"/>
      <c r="T17" s="13"/>
      <c r="U17" s="13"/>
      <c r="V17" s="15"/>
      <c r="W17" s="15"/>
      <c r="X17" s="16"/>
      <c r="Y17" s="16"/>
      <c r="Z17" s="14"/>
      <c r="AA17" s="14"/>
      <c r="AB17" s="14"/>
      <c r="AC17" s="18"/>
      <c r="AD17" s="164" t="str">
        <f t="shared" si="0"/>
        <v/>
      </c>
      <c r="AE17" s="229"/>
      <c r="AF17" s="230"/>
      <c r="AU17" s="108" t="str">
        <f t="shared" si="12"/>
        <v/>
      </c>
      <c r="AV17" s="65" t="e">
        <f t="shared" si="13"/>
        <v>#N/A</v>
      </c>
      <c r="AW17" s="169" t="e">
        <f>VLOOKUP(P17,Data!$MI$2:$MJ$4,2,FALSE)</f>
        <v>#N/A</v>
      </c>
      <c r="AX17" s="169" t="e">
        <f t="shared" si="14"/>
        <v>#N/A</v>
      </c>
      <c r="AY17" s="169" t="e">
        <f>VLOOKUP(N17,Data!$BI$24:$BJ$30,2,FALSE)</f>
        <v>#N/A</v>
      </c>
      <c r="AZ17" s="155" t="b">
        <f>IF(G17=Data!$BO$2,Data!$BS$2, IF(Shutters!G17=Data!$BP$2,Data!$BT$2, IF(Shutters!G17=Data!$BQ$2,Data!$BU$2)))</f>
        <v>0</v>
      </c>
      <c r="BA17" s="340" t="str">
        <f t="shared" si="15"/>
        <v>No</v>
      </c>
      <c r="BB17" s="155" t="e">
        <f t="shared" si="16"/>
        <v>#DIV/0!</v>
      </c>
      <c r="BC17" s="340" t="e">
        <f t="shared" si="17"/>
        <v>#DIV/0!</v>
      </c>
      <c r="BD17" s="155" t="e">
        <f t="shared" si="1"/>
        <v>#DIV/0!</v>
      </c>
      <c r="BE17" s="340" t="str">
        <f t="shared" si="18"/>
        <v>No</v>
      </c>
      <c r="BF17" s="155" t="str">
        <f t="shared" si="19"/>
        <v>NotRequired</v>
      </c>
      <c r="BG17" s="155" t="b">
        <f>IF(G17=Data!$BO$2,Data!$CM$2, IF(Shutters!G17=Data!$BP$2,Data!$CN$2, IF(Shutters!G17=Data!$BQ$2,Data!$CO$2)))</f>
        <v>0</v>
      </c>
      <c r="BH17" s="155" t="e">
        <f t="shared" si="20"/>
        <v>#DIV/0!</v>
      </c>
      <c r="BI17" s="156" t="str">
        <f t="shared" si="2"/>
        <v>NoHighlight</v>
      </c>
      <c r="BJ17" s="340" t="str">
        <f t="shared" si="21"/>
        <v>FauxwoodRPNo</v>
      </c>
      <c r="BK17" s="156" t="str">
        <f>IF(SUM(--ISNUMBER( SEARCH({"t","T"},O17))),"Yes","No")</f>
        <v>No</v>
      </c>
      <c r="BL17" s="156" t="str">
        <f t="shared" si="22"/>
        <v>OK</v>
      </c>
      <c r="BM17" s="156" t="str">
        <f t="shared" si="23"/>
        <v>OK</v>
      </c>
      <c r="BN17" s="156" t="str">
        <f t="shared" si="24"/>
        <v>OK</v>
      </c>
      <c r="BO17" s="156" t="e">
        <f>IF(OR(AND(F17&gt;1,#REF!="L",#REF!="l"),AND(F17&gt;1,#REF!="R",#REF!="r"),AND(F17&gt;2,#REF!="LR",#REF!="lr")), "Error","OK")</f>
        <v>#REF!</v>
      </c>
      <c r="BP17" s="156" t="str">
        <f t="shared" si="3"/>
        <v>FauxwoodAINo</v>
      </c>
      <c r="BQ17" s="156" t="str">
        <f>IF(SUM(--ISNUMBER(SEARCH({"combo","Combo","COMBO"}, B34))),"Yes","No")</f>
        <v>No</v>
      </c>
      <c r="BR17" s="156" t="str">
        <f t="shared" si="25"/>
        <v>No</v>
      </c>
      <c r="BS17" s="156" t="str">
        <f>IF(SUM(--ISNUMBER( SEARCH({"c","C","b","B"},#REF!))),"Yes","No")</f>
        <v>No</v>
      </c>
      <c r="BT17" s="157">
        <f t="shared" si="4"/>
        <v>0</v>
      </c>
      <c r="BU17" s="169" t="str">
        <f>IF(N17=Data!$BI$3,Data!$DR$3,IF(N17=Data!$BI$4,Data!$DS$3,IF(N17=Data!$BI$5,Data!$DT$3,IF(N17=Data!$BI$6,Data!$DU$3,IF(N17=Data!$BI$7,Data!$DV$3, IF(N17=Data!$BI$8,Data!$DX$3, IF(N17=Data!$BI$9,Data!$DW$3, "")))))))</f>
        <v/>
      </c>
      <c r="BV17" s="169" t="str">
        <f>IF(N17=Data!$BI$3,Data!$DY$3,IF(N17=Data!$BI$4,Data!$DZ$3,IF(N17=Data!$BI$5,Data!$EA$3,IF(N17=Data!$BI$6,Data!$EB$3,IF(N17=Data!$BI$7,Data!$EC$3,IF(N17=Data!$BI$8,Data!$EE$3, IF(N17=Data!$BI$9,Data!$ED$3,"")))))))</f>
        <v/>
      </c>
      <c r="BW17" s="157">
        <f t="shared" si="5"/>
        <v>0</v>
      </c>
      <c r="BX17" s="157">
        <f t="shared" si="6"/>
        <v>0</v>
      </c>
      <c r="BY17" s="169" t="e">
        <f t="shared" si="26"/>
        <v>#DIV/0!</v>
      </c>
      <c r="BZ17" s="330" t="b">
        <f>IF(G17=Data!$EU$2,Data!$ES$2,IF(G17=Data!$EU$3,Data!$ER$2, IF(G17=Data!$EU$5,Data!$ET$2, IF(G17=Data!$EU$4,Data!$EQ$2,IF(G17=Data!$EU$6,Data!$ER$2)))))</f>
        <v>0</v>
      </c>
      <c r="CA17" s="330" t="b">
        <f>IF(G17=Data!$EU$2,Data!$EW$2,IF(G17=Data!$EU$3,Data!$EX$2,IF(G17=Data!$EU$4,Data!$EY$2, IF(G17=Data!$EU$5,Data!$EY$2,IF(G17=Data!$EU$6,Data!$EX$2)))))</f>
        <v>0</v>
      </c>
      <c r="CB17" s="169" t="e">
        <f>VLOOKUP(M17,Data!$EJ$3:$EK$14,2,FALSE)</f>
        <v>#N/A</v>
      </c>
      <c r="CC17" s="169" t="str">
        <f>IF(J17="114mm",VLOOKUP(H17,Data!$FA$2:$FB$18,2,FALSE),"OK")</f>
        <v>OK</v>
      </c>
      <c r="CD17" s="169" t="e">
        <f t="shared" si="7"/>
        <v>#DIV/0!</v>
      </c>
      <c r="CE17" s="169" t="str">
        <f>IF(OR(AND(R17="",P17&lt;&gt;"")),VLOOKUP(P17,Data!$FC$2:$FD$18,2,FALSE),"")</f>
        <v/>
      </c>
      <c r="CF17" s="169" t="str">
        <f>IF(N17=Data!$BI$3,Data!$FJ$1,IF(N17=Data!$BI$4,Data!$FK$1,IF(N17=Data!$BI$5,Data!$FL$1,IF(N17=Data!$BI$6,Data!$FM$1,IF(N17=Data!$BI$7,Data!$FN$1, IF(N17=Data!$BI$8,Data!$FO$1, IF(N17=Data!$BI$9,Data!$FI$1, "")))))))</f>
        <v/>
      </c>
      <c r="CG17" s="169" t="str">
        <f>IF(SUM(--ISNUMBER(SEARCH({"z","Z"}, P17))),"Yes","No")</f>
        <v>No</v>
      </c>
      <c r="CH17" s="169" t="str">
        <f t="shared" si="8"/>
        <v>OK</v>
      </c>
      <c r="CI17" s="169">
        <f t="shared" si="27"/>
        <v>0</v>
      </c>
      <c r="CJ17" s="169" t="e">
        <f>VLOOKUP(O17,Data!$DO$4:$DP$156,2,FALSE)</f>
        <v>#N/A</v>
      </c>
      <c r="CK17" s="169" t="e">
        <f t="shared" si="9"/>
        <v>#N/A</v>
      </c>
      <c r="CL17" s="157"/>
      <c r="CM17" s="157"/>
      <c r="CN17" s="157"/>
      <c r="CO17" s="344" t="str">
        <f t="shared" si="28"/>
        <v>OK</v>
      </c>
      <c r="CP17" s="169" t="b">
        <f t="shared" si="29"/>
        <v>0</v>
      </c>
      <c r="CQ17" s="169">
        <f t="shared" si="30"/>
        <v>0</v>
      </c>
      <c r="CR17" s="169">
        <f t="shared" si="31"/>
        <v>1</v>
      </c>
      <c r="CS17" s="169">
        <f t="shared" si="32"/>
        <v>0</v>
      </c>
      <c r="CT17" s="157" t="e">
        <f t="shared" si="33"/>
        <v>#DIV/0!</v>
      </c>
      <c r="CU17" s="169" t="b">
        <f>IF(H17=Data!$BD$3,Data!$HC$2,IF(H17=Data!$BD$4,Data!$HM$2,IF(H17=Data!$BD$5,Data!$HF$2,IF(H17=Data!$BD$6,Data!$HB$2,IF(H17=Data!$BD$7,Data!$HD$2,IF(H17=Data!$BD$8,Data!$HJ$2,IF(H17=Data!$BD$9,Data!$HN$2,IF(H17=Data!$BD$10,Data!$HA$2,IF(H17=Data!$BD$11,Data!$HI$2)))))))))</f>
        <v>0</v>
      </c>
      <c r="CV17" s="276" t="b">
        <f>IF(H17=Data!$BE$3,Data!$HQ$2, IF(H17=Data!$BE$4,Data!$HP$2, IF(H17=Data!$BE$5,Data!$HR$2, IF(H17=Data!$BE$6,Data!$HO$2))))</f>
        <v>0</v>
      </c>
      <c r="CW17" s="330" t="b">
        <f>IF(H17=Data!$BH$3,Data!$HU$2, IF(H17=Data!$BH$4,Data!$HT$2, IF(H17=Data!$BH$5,Data!$HS$2)))</f>
        <v>0</v>
      </c>
      <c r="CX17" s="330" t="b">
        <f>IF(H17=Data!$BF$3,Data!$HQ$16, IF(H17=Data!$BF$4,Data!$HP$16, IF(H17=Data!$BF$5,Data!$HR$16, IF(H17=Data!$BF$6,Data!$HO$16))))</f>
        <v>0</v>
      </c>
      <c r="CY17" s="330" t="b">
        <f>IF(G17=Data!$BC$3,Shutters!CU17,IF(G17=Data!$BC$4,Shutters!CV17,IF(G17=Data!$BC$6,Shutters!CW17, IF(G17=Data!$BC$5, Shutters!CX17,IF(G17=Data!$BC$7,Shutters!CV17)))))</f>
        <v>0</v>
      </c>
      <c r="CZ17" s="157" t="e">
        <f>IF(OR(AND(L17&gt;0,#REF!="")), "Error","OK")</f>
        <v>#REF!</v>
      </c>
      <c r="DA17" s="169" t="e">
        <f>IF(COUNTIF(#REF!,Data!$CX$6),"Yes","")</f>
        <v>#REF!</v>
      </c>
      <c r="DB17" s="54" t="str">
        <f t="shared" si="34"/>
        <v/>
      </c>
      <c r="DE17" s="54" t="str">
        <f>IF(N17=Data!$BI$5,"Yes",IF(N17=Data!$BI$6,"Yes","No"))</f>
        <v>No</v>
      </c>
      <c r="DF17" s="65" t="b">
        <f>IF(N17=Data!$BI$3,Data!$JB$2,IF(N17=Data!$BI$4,Data!$JC$2,IF(N17=Data!$BI$5,Data!$JD$2,IF(N17=Data!$BI$6,Data!$JE$2,IF(N17=Data!$BI$7,Data!$JF$2, IF(N17=Data!$BI$8,Data!$JA$2, IF(N17=Data!$BI$9,Data!$JG$2)))))))</f>
        <v>0</v>
      </c>
      <c r="DI17" s="65" t="e">
        <f>VLOOKUP(O17,Data!$DO$4:$DQ$156,3,FALSE)</f>
        <v>#N/A</v>
      </c>
      <c r="DJ17" s="54" t="e">
        <f t="shared" si="10"/>
        <v>#N/A</v>
      </c>
      <c r="DK17" s="54" t="e">
        <f t="shared" si="35"/>
        <v>#N/A</v>
      </c>
      <c r="DL17" s="54" t="b">
        <f>IF(P17=Data!$BK$3,Data!$JH$2,IF(P17=Data!$BK$4,Data!$JI$2,IF(P17=Data!$BK$5,Data!$JJ$2,IF(P17=Data!$BK$6,Data!$JK$2,IF(P17=Data!$BK$7,Data!$JL$2,IF(P17=Data!$BK$8,Data!$JM$2,IF(P17=Data!$BK$9,Data!$JN$2,IF(P17=Data!$BK$10,Data!$JO$2,IF(P17=Data!$BK$11,Data!$JP$2,IF(P17=Data!$BK$12,Data!$JQ$2,IF(P17=Data!$BK$13,Data!$JR$2,IF(P17=Data!$BK$14,Data!$JS$2,IF(P17=Data!$BK$15,Data!$JT$2,IF(P17=Data!$BK$16,Data!$JU$2,IF(P17=Data!$BK$17,Data!$JV$2,IF(P17=Data!$BK$18,Data!$JW$2, IF(P17=Data!$BK$19,Data!$JX$2, IF(P17=Data!$BK$20,Data!$JY$2))))))))))))))))))</f>
        <v>0</v>
      </c>
      <c r="DN17" s="169" t="str">
        <f t="shared" si="36"/>
        <v/>
      </c>
      <c r="DO17" s="169" t="e">
        <f t="shared" si="37"/>
        <v>#N/A</v>
      </c>
      <c r="DP17" s="169" t="str">
        <f t="shared" si="38"/>
        <v>OK</v>
      </c>
      <c r="DQ17" s="169" t="str">
        <f t="shared" si="39"/>
        <v>OK</v>
      </c>
      <c r="DR17" s="169" t="str">
        <f t="shared" si="40"/>
        <v>OK</v>
      </c>
      <c r="DS17" s="169" t="str">
        <f t="shared" si="41"/>
        <v>OK</v>
      </c>
      <c r="DT17" s="65" t="b">
        <f>IF(N17=Data!$LW$2,Data!$LX$1,IF(N17=Data!$LW$3,Data!$LY$1,IF(N17=Data!$LW$4,Data!$LZ$1,IF(N17=Data!$LW$5,Data!$MA$1,IF(N17=Data!$LW$6,Data!$MB$1,IF(N17=Data!$LW$7,Data!$MC$1, IF(N17=Data!$LW$8,Data!$MX$1)))))))</f>
        <v>0</v>
      </c>
      <c r="DU17" s="65" t="b">
        <f>IF(E17=Data!$MD$2,Data!$ME$2, IF(E17=Data!$MD$3,Data!$MF$2, IF(E17=Data!$MD$4,Data!$MG$2)))</f>
        <v>0</v>
      </c>
      <c r="DV17" s="54" t="str">
        <f>IF(E17="MS", Data!$AK$1, Data!$EJ$2)</f>
        <v>Special_Window</v>
      </c>
      <c r="DW17" s="65" t="str">
        <f>IF(OR(AND(S17="",P17&lt;&gt;"")),VLOOKUP(P17,Data!$FC$2:$FD$18,2,FALSE),"")</f>
        <v/>
      </c>
      <c r="DX17" s="65" t="str">
        <f>IF(OR(AND(T17="",P17&lt;&gt;"")),VLOOKUP(P17,Data!$FC$2:$FD$18,2,FALSE),"")</f>
        <v/>
      </c>
      <c r="DY17" s="65" t="str">
        <f>IF(OR(AND(U17="",P17&lt;&gt;"")),VLOOKUP(P17,Data!$FC$2:$FD$18,2,FALSE),"")</f>
        <v/>
      </c>
      <c r="DZ17" s="157" t="e">
        <f>VLOOKUP(N17,Data!$MK$2:$ML$8,2,FALSE)</f>
        <v>#N/A</v>
      </c>
      <c r="EA17" s="65" t="e">
        <f>VLOOKUP(O17,Data!$DO$4:$DO$157,1,FALSE)</f>
        <v>#N/A</v>
      </c>
      <c r="EB17" s="65" t="e">
        <f t="shared" si="42"/>
        <v>#N/A</v>
      </c>
      <c r="EC17" s="54" t="str">
        <f t="shared" si="43"/>
        <v/>
      </c>
      <c r="ED17" s="157" t="str">
        <f t="shared" si="44"/>
        <v>OK</v>
      </c>
      <c r="EE17" s="169" t="b">
        <f>IF(P17=Data!$NN$3,Data!$NO$2, IF(P17=Data!$NN$4,Data!$NP$2, IF(P17=Data!$NN$5,Data!$NQ$2, IF(P17=Data!$NN$6,Data!$NR$2, IF(P17=Data!$NN$7,Data!$NS$2, IF(P17=Data!$NN$8,Data!$NT$2, IF(P17=Data!$NN$9,Data!$NU$2, IF(P17=Data!$NN$10,Data!$NV$2, IF(P17=Data!$NN$11,Data!$NW$2, IF(P17=Data!$NN$12,Data!$NX$2, IF(P17=Data!$NN$13,Data!$NY$2, IF(P17=Data!$NN$14,Data!$NZ$2, IF(P17=Data!$NN$15,Data!$OA$2, IF(P17=Data!$NN$16,Data!$OB$2, IF(P17=Data!$NN$17,Data!$OC$2, IF(P17=Data!$NN$18,Data!$OD$2, IF(P17=Data!$NN$19,Data!$OE$2, IF(P17=Data!$NN$20,Data!$OG$2))))))))))))))))))</f>
        <v>0</v>
      </c>
      <c r="EF17" s="169" t="b">
        <f>IF(P17=Data!$NN$3,Data!$NO$15,IF(P17=Data!$NN$4,Data!$NP$15,IF(P17=Data!$NN$5,Data!$NQ$15,IF(P17=Data!$NN$6,Data!$NR$15,IF(P17=Data!$NN$7,Data!$NS$15,IF(P17=Data!$NN$8,Data!$NT$15,IF(P17=Data!$NN$9,Data!$NU$15,IF(P17=Data!$NN$10,Data!$NV$15,IF(P17=Data!$NN$11,Data!$NW$15,IF(P17=Data!$NN$12,Data!$NX$15,IF(P17=Data!$NN$13,Data!$NY$15,IF(P17=Data!$NN$14,Data!$NZ$15,IF(N17=Data!$NN$22,Data!$OA$15,IF(N17=Data!$NN$23,Data!$OB$15,IF(P17=Data!$NN$19,Data!$OC$15, IF(P17=Data!$NN$20,Data!$OG$15))))))))))))))))</f>
        <v>0</v>
      </c>
      <c r="EG17" s="330" t="e">
        <f>MATCH(G17, Data!$CW$10:$CW$14,0)</f>
        <v>#N/A</v>
      </c>
      <c r="EH17" s="169" t="e">
        <f>MATCH(J17,Data!$CX$9:$DA$9,0)</f>
        <v>#N/A</v>
      </c>
      <c r="EI17" s="334" t="e">
        <f>INDEX(Data!$CX$10:$DA$14,Shutters!EG17,Shutters!EH17)</f>
        <v>#N/A</v>
      </c>
      <c r="EJ17" s="169" t="str">
        <f>IF(SUM(--ISNUMBER(SEARCH({"combo","Combo","COMBO"}, B34))),"Yes","No")</f>
        <v>No</v>
      </c>
      <c r="EK17" s="169" t="str">
        <f>IF(SUM(--ISNUMBER(SEARCH({"combo","Combo","COMBO"}, F34))),"Yes","No")</f>
        <v>No</v>
      </c>
      <c r="EL17" s="169" t="str">
        <f t="shared" si="45"/>
        <v>No</v>
      </c>
      <c r="EM17" s="157">
        <f t="shared" si="46"/>
        <v>1</v>
      </c>
      <c r="EN17" s="157" t="e">
        <f t="shared" si="47"/>
        <v>#DIV/0!</v>
      </c>
      <c r="EO17" s="169" t="str">
        <f t="shared" si="48"/>
        <v/>
      </c>
      <c r="EP17" s="330" t="str">
        <f t="shared" si="49"/>
        <v/>
      </c>
      <c r="EQ17" s="330" t="str">
        <f t="shared" si="50"/>
        <v/>
      </c>
      <c r="ER17" s="169" t="str">
        <f t="shared" si="51"/>
        <v/>
      </c>
      <c r="ES17" s="169" t="str">
        <f t="shared" si="52"/>
        <v/>
      </c>
      <c r="ET17" s="169" t="str">
        <f t="shared" si="53"/>
        <v/>
      </c>
      <c r="EU17" s="264" t="str">
        <f t="shared" si="54"/>
        <v>No</v>
      </c>
      <c r="EV17" s="330" t="e">
        <f>MATCH(G17,Data!$FH$18:$FL$18,0)</f>
        <v>#N/A</v>
      </c>
      <c r="EW17" s="169" t="e">
        <f>MATCH(N17,Data!$FG$19:$FG$25,0)</f>
        <v>#N/A</v>
      </c>
      <c r="EX17" s="330" t="e">
        <f>INDEX(Data!$FH$19:$FL$25,Shutters!EW17,Shutters!EV17)</f>
        <v>#N/A</v>
      </c>
    </row>
    <row r="18" spans="1:154" ht="36.75" customHeight="1">
      <c r="A18" s="52">
        <v>10</v>
      </c>
      <c r="B18" s="17"/>
      <c r="C18" s="14"/>
      <c r="D18" s="14"/>
      <c r="E18" s="14"/>
      <c r="F18" s="10"/>
      <c r="G18" s="13"/>
      <c r="H18" s="689"/>
      <c r="I18" s="763"/>
      <c r="J18" s="14"/>
      <c r="K18" s="144" t="str">
        <f t="shared" si="11"/>
        <v/>
      </c>
      <c r="L18" s="15"/>
      <c r="M18" s="15"/>
      <c r="N18" s="15"/>
      <c r="O18" s="15"/>
      <c r="P18" s="527"/>
      <c r="Q18" s="527"/>
      <c r="R18" s="13"/>
      <c r="S18" s="13"/>
      <c r="T18" s="13"/>
      <c r="U18" s="13"/>
      <c r="V18" s="15"/>
      <c r="W18" s="15"/>
      <c r="X18" s="16"/>
      <c r="Y18" s="16"/>
      <c r="Z18" s="14"/>
      <c r="AA18" s="14"/>
      <c r="AB18" s="14"/>
      <c r="AC18" s="18"/>
      <c r="AD18" s="164" t="str">
        <f t="shared" si="0"/>
        <v/>
      </c>
      <c r="AE18" s="229"/>
      <c r="AF18" s="230"/>
      <c r="AU18" s="108" t="str">
        <f t="shared" si="12"/>
        <v/>
      </c>
      <c r="AV18" s="65" t="e">
        <f t="shared" si="13"/>
        <v>#N/A</v>
      </c>
      <c r="AW18" s="169" t="e">
        <f>VLOOKUP(P18,Data!$MI$2:$MJ$4,2,FALSE)</f>
        <v>#N/A</v>
      </c>
      <c r="AX18" s="169" t="e">
        <f t="shared" si="14"/>
        <v>#N/A</v>
      </c>
      <c r="AY18" s="169" t="e">
        <f>VLOOKUP(N18,Data!$BI$24:$BJ$30,2,FALSE)</f>
        <v>#N/A</v>
      </c>
      <c r="AZ18" s="155" t="b">
        <f>IF(G18=Data!$BO$2,Data!$BS$2, IF(Shutters!G18=Data!$BP$2,Data!$BT$2, IF(Shutters!G18=Data!$BQ$2,Data!$BU$2)))</f>
        <v>0</v>
      </c>
      <c r="BA18" s="340" t="str">
        <f t="shared" si="15"/>
        <v>No</v>
      </c>
      <c r="BB18" s="155" t="e">
        <f t="shared" si="16"/>
        <v>#DIV/0!</v>
      </c>
      <c r="BC18" s="340" t="e">
        <f t="shared" si="17"/>
        <v>#DIV/0!</v>
      </c>
      <c r="BD18" s="155" t="e">
        <f t="shared" si="1"/>
        <v>#DIV/0!</v>
      </c>
      <c r="BE18" s="340" t="str">
        <f t="shared" si="18"/>
        <v>No</v>
      </c>
      <c r="BF18" s="155" t="str">
        <f t="shared" si="19"/>
        <v>NotRequired</v>
      </c>
      <c r="BG18" s="155" t="b">
        <f>IF(G18=Data!$BO$2,Data!$CM$2, IF(Shutters!G18=Data!$BP$2,Data!$CN$2, IF(Shutters!G18=Data!$BQ$2,Data!$CO$2)))</f>
        <v>0</v>
      </c>
      <c r="BH18" s="155" t="e">
        <f t="shared" si="20"/>
        <v>#DIV/0!</v>
      </c>
      <c r="BI18" s="156" t="str">
        <f t="shared" si="2"/>
        <v>NoHighlight</v>
      </c>
      <c r="BJ18" s="340" t="str">
        <f t="shared" si="21"/>
        <v>FauxwoodRPNo</v>
      </c>
      <c r="BK18" s="156" t="str">
        <f>IF(SUM(--ISNUMBER( SEARCH({"t","T"},O18))),"Yes","No")</f>
        <v>No</v>
      </c>
      <c r="BL18" s="156" t="str">
        <f t="shared" si="22"/>
        <v>OK</v>
      </c>
      <c r="BM18" s="156" t="str">
        <f t="shared" si="23"/>
        <v>OK</v>
      </c>
      <c r="BN18" s="156" t="str">
        <f t="shared" si="24"/>
        <v>OK</v>
      </c>
      <c r="BO18" s="156" t="e">
        <f>IF(OR(AND(F18&gt;1,#REF!="L",#REF!="l"),AND(F18&gt;1,#REF!="R",#REF!="r"),AND(F18&gt;2,#REF!="LR",#REF!="lr")), "Error","OK")</f>
        <v>#REF!</v>
      </c>
      <c r="BP18" s="156" t="str">
        <f t="shared" si="3"/>
        <v>FauxwoodAINo</v>
      </c>
      <c r="BQ18" s="156" t="str">
        <f>IF(SUM(--ISNUMBER(SEARCH({"combo","Combo","COMBO"}, B35))),"Yes","No")</f>
        <v>No</v>
      </c>
      <c r="BR18" s="156" t="str">
        <f t="shared" si="25"/>
        <v>No</v>
      </c>
      <c r="BS18" s="156" t="str">
        <f>IF(SUM(--ISNUMBER( SEARCH({"c","C","b","B"},#REF!))),"Yes","No")</f>
        <v>No</v>
      </c>
      <c r="BT18" s="157">
        <f t="shared" si="4"/>
        <v>0</v>
      </c>
      <c r="BU18" s="169" t="str">
        <f>IF(N18=Data!$BI$3,Data!$DR$3,IF(N18=Data!$BI$4,Data!$DS$3,IF(N18=Data!$BI$5,Data!$DT$3,IF(N18=Data!$BI$6,Data!$DU$3,IF(N18=Data!$BI$7,Data!$DV$3, IF(N18=Data!$BI$8,Data!$DX$3, IF(N18=Data!$BI$9,Data!$DW$3, "")))))))</f>
        <v/>
      </c>
      <c r="BV18" s="169" t="str">
        <f>IF(N18=Data!$BI$3,Data!$DY$3,IF(N18=Data!$BI$4,Data!$DZ$3,IF(N18=Data!$BI$5,Data!$EA$3,IF(N18=Data!$BI$6,Data!$EB$3,IF(N18=Data!$BI$7,Data!$EC$3,IF(N18=Data!$BI$8,Data!$EE$3, IF(N18=Data!$BI$9,Data!$ED$3,"")))))))</f>
        <v/>
      </c>
      <c r="BW18" s="157">
        <f t="shared" si="5"/>
        <v>0</v>
      </c>
      <c r="BX18" s="157">
        <f t="shared" si="6"/>
        <v>0</v>
      </c>
      <c r="BY18" s="169" t="e">
        <f t="shared" si="26"/>
        <v>#DIV/0!</v>
      </c>
      <c r="BZ18" s="330" t="b">
        <f>IF(G18=Data!$EU$2,Data!$ES$2,IF(G18=Data!$EU$3,Data!$ER$2, IF(G18=Data!$EU$5,Data!$ET$2, IF(G18=Data!$EU$4,Data!$EQ$2,IF(G18=Data!$EU$6,Data!$ER$2)))))</f>
        <v>0</v>
      </c>
      <c r="CA18" s="330" t="b">
        <f>IF(G18=Data!$EU$2,Data!$EW$2,IF(G18=Data!$EU$3,Data!$EX$2,IF(G18=Data!$EU$4,Data!$EY$2, IF(G18=Data!$EU$5,Data!$EY$2,IF(G18=Data!$EU$6,Data!$EX$2)))))</f>
        <v>0</v>
      </c>
      <c r="CB18" s="169" t="e">
        <f>VLOOKUP(M18,Data!$EJ$3:$EK$14,2,FALSE)</f>
        <v>#N/A</v>
      </c>
      <c r="CC18" s="169" t="str">
        <f>IF(J18="114mm",VLOOKUP(H18,Data!$FA$2:$FB$18,2,FALSE),"OK")</f>
        <v>OK</v>
      </c>
      <c r="CD18" s="169" t="e">
        <f t="shared" si="7"/>
        <v>#DIV/0!</v>
      </c>
      <c r="CE18" s="169" t="str">
        <f>IF(OR(AND(R18="",P18&lt;&gt;"")),VLOOKUP(P18,Data!$FC$2:$FD$18,2,FALSE),"")</f>
        <v/>
      </c>
      <c r="CF18" s="169" t="str">
        <f>IF(N18=Data!$BI$3,Data!$FJ$1,IF(N18=Data!$BI$4,Data!$FK$1,IF(N18=Data!$BI$5,Data!$FL$1,IF(N18=Data!$BI$6,Data!$FM$1,IF(N18=Data!$BI$7,Data!$FN$1, IF(N18=Data!$BI$8,Data!$FO$1, IF(N18=Data!$BI$9,Data!$FI$1, "")))))))</f>
        <v/>
      </c>
      <c r="CG18" s="169" t="str">
        <f>IF(SUM(--ISNUMBER(SEARCH({"z","Z"}, P18))),"Yes","No")</f>
        <v>No</v>
      </c>
      <c r="CH18" s="169" t="str">
        <f t="shared" si="8"/>
        <v>OK</v>
      </c>
      <c r="CI18" s="169">
        <f t="shared" si="27"/>
        <v>0</v>
      </c>
      <c r="CJ18" s="169" t="e">
        <f>VLOOKUP(O18,Data!$DO$4:$DP$156,2,FALSE)</f>
        <v>#N/A</v>
      </c>
      <c r="CK18" s="169" t="e">
        <f t="shared" si="9"/>
        <v>#N/A</v>
      </c>
      <c r="CL18" s="157"/>
      <c r="CM18" s="157"/>
      <c r="CN18" s="157"/>
      <c r="CO18" s="344" t="str">
        <f t="shared" si="28"/>
        <v>OK</v>
      </c>
      <c r="CP18" s="169" t="b">
        <f t="shared" si="29"/>
        <v>0</v>
      </c>
      <c r="CQ18" s="169">
        <f t="shared" si="30"/>
        <v>0</v>
      </c>
      <c r="CR18" s="169">
        <f t="shared" si="31"/>
        <v>1</v>
      </c>
      <c r="CS18" s="169">
        <f t="shared" si="32"/>
        <v>0</v>
      </c>
      <c r="CT18" s="157" t="e">
        <f t="shared" si="33"/>
        <v>#DIV/0!</v>
      </c>
      <c r="CU18" s="169" t="b">
        <f>IF(H18=Data!$BD$3,Data!$HC$2,IF(H18=Data!$BD$4,Data!$HM$2,IF(H18=Data!$BD$5,Data!$HF$2,IF(H18=Data!$BD$6,Data!$HB$2,IF(H18=Data!$BD$7,Data!$HD$2,IF(H18=Data!$BD$8,Data!$HJ$2,IF(H18=Data!$BD$9,Data!$HN$2,IF(H18=Data!$BD$10,Data!$HA$2,IF(H18=Data!$BD$11,Data!$HI$2)))))))))</f>
        <v>0</v>
      </c>
      <c r="CV18" s="276" t="b">
        <f>IF(H18=Data!$BE$3,Data!$HQ$2, IF(H18=Data!$BE$4,Data!$HP$2, IF(H18=Data!$BE$5,Data!$HR$2, IF(H18=Data!$BE$6,Data!$HO$2))))</f>
        <v>0</v>
      </c>
      <c r="CW18" s="330" t="b">
        <f>IF(H18=Data!$BH$3,Data!$HU$2, IF(H18=Data!$BH$4,Data!$HT$2, IF(H18=Data!$BH$5,Data!$HS$2)))</f>
        <v>0</v>
      </c>
      <c r="CX18" s="330" t="b">
        <f>IF(H18=Data!$BF$3,Data!$HQ$16, IF(H18=Data!$BF$4,Data!$HP$16, IF(H18=Data!$BF$5,Data!$HR$16, IF(H18=Data!$BF$6,Data!$HO$16))))</f>
        <v>0</v>
      </c>
      <c r="CY18" s="330" t="b">
        <f>IF(G18=Data!$BC$3,Shutters!CU18,IF(G18=Data!$BC$4,Shutters!CV18,IF(G18=Data!$BC$6,Shutters!CW18, IF(G18=Data!$BC$5, Shutters!CX18,IF(G18=Data!$BC$7,Shutters!CV18)))))</f>
        <v>0</v>
      </c>
      <c r="CZ18" s="157" t="e">
        <f>IF(OR(AND(L18&gt;0,#REF!="")), "Error","OK")</f>
        <v>#REF!</v>
      </c>
      <c r="DA18" s="169" t="e">
        <f>IF(COUNTIF(#REF!,Data!$CX$6),"Yes","")</f>
        <v>#REF!</v>
      </c>
      <c r="DB18" s="54" t="str">
        <f t="shared" si="34"/>
        <v/>
      </c>
      <c r="DE18" s="54" t="str">
        <f>IF(N18=Data!$BI$5,"Yes",IF(N18=Data!$BI$6,"Yes","No"))</f>
        <v>No</v>
      </c>
      <c r="DF18" s="65" t="b">
        <f>IF(N18=Data!$BI$3,Data!$JB$2,IF(N18=Data!$BI$4,Data!$JC$2,IF(N18=Data!$BI$5,Data!$JD$2,IF(N18=Data!$BI$6,Data!$JE$2,IF(N18=Data!$BI$7,Data!$JF$2, IF(N18=Data!$BI$8,Data!$JA$2, IF(N18=Data!$BI$9,Data!$JG$2)))))))</f>
        <v>0</v>
      </c>
      <c r="DI18" s="65" t="e">
        <f>VLOOKUP(O18,Data!$DO$4:$DQ$156,3,FALSE)</f>
        <v>#N/A</v>
      </c>
      <c r="DJ18" s="54" t="e">
        <f t="shared" si="10"/>
        <v>#N/A</v>
      </c>
      <c r="DK18" s="54" t="e">
        <f t="shared" si="35"/>
        <v>#N/A</v>
      </c>
      <c r="DL18" s="54" t="b">
        <f>IF(P18=Data!$BK$3,Data!$JH$2,IF(P18=Data!$BK$4,Data!$JI$2,IF(P18=Data!$BK$5,Data!$JJ$2,IF(P18=Data!$BK$6,Data!$JK$2,IF(P18=Data!$BK$7,Data!$JL$2,IF(P18=Data!$BK$8,Data!$JM$2,IF(P18=Data!$BK$9,Data!$JN$2,IF(P18=Data!$BK$10,Data!$JO$2,IF(P18=Data!$BK$11,Data!$JP$2,IF(P18=Data!$BK$12,Data!$JQ$2,IF(P18=Data!$BK$13,Data!$JR$2,IF(P18=Data!$BK$14,Data!$JS$2,IF(P18=Data!$BK$15,Data!$JT$2,IF(P18=Data!$BK$16,Data!$JU$2,IF(P18=Data!$BK$17,Data!$JV$2,IF(P18=Data!$BK$18,Data!$JW$2, IF(P18=Data!$BK$19,Data!$JX$2, IF(P18=Data!$BK$20,Data!$JY$2))))))))))))))))))</f>
        <v>0</v>
      </c>
      <c r="DN18" s="169" t="str">
        <f t="shared" si="36"/>
        <v/>
      </c>
      <c r="DO18" s="169" t="e">
        <f t="shared" si="37"/>
        <v>#N/A</v>
      </c>
      <c r="DP18" s="169" t="str">
        <f t="shared" si="38"/>
        <v>OK</v>
      </c>
      <c r="DQ18" s="169" t="str">
        <f t="shared" si="39"/>
        <v>OK</v>
      </c>
      <c r="DR18" s="169" t="str">
        <f t="shared" si="40"/>
        <v>OK</v>
      </c>
      <c r="DS18" s="169" t="str">
        <f t="shared" si="41"/>
        <v>OK</v>
      </c>
      <c r="DT18" s="65" t="b">
        <f>IF(N18=Data!$LW$2,Data!$LX$1,IF(N18=Data!$LW$3,Data!$LY$1,IF(N18=Data!$LW$4,Data!$LZ$1,IF(N18=Data!$LW$5,Data!$MA$1,IF(N18=Data!$LW$6,Data!$MB$1,IF(N18=Data!$LW$7,Data!$MC$1, IF(N18=Data!$LW$8,Data!$MX$1)))))))</f>
        <v>0</v>
      </c>
      <c r="DU18" s="65" t="b">
        <f>IF(E18=Data!$MD$2,Data!$ME$2, IF(E18=Data!$MD$3,Data!$MF$2, IF(E18=Data!$MD$4,Data!$MG$2)))</f>
        <v>0</v>
      </c>
      <c r="DV18" s="54" t="str">
        <f>IF(E18="MS", Data!$AK$1, Data!$EJ$2)</f>
        <v>Special_Window</v>
      </c>
      <c r="DW18" s="65" t="str">
        <f>IF(OR(AND(S18="",P18&lt;&gt;"")),VLOOKUP(P18,Data!$FC$2:$FD$18,2,FALSE),"")</f>
        <v/>
      </c>
      <c r="DX18" s="65" t="str">
        <f>IF(OR(AND(T18="",P18&lt;&gt;"")),VLOOKUP(P18,Data!$FC$2:$FD$18,2,FALSE),"")</f>
        <v/>
      </c>
      <c r="DY18" s="65" t="str">
        <f>IF(OR(AND(U18="",P18&lt;&gt;"")),VLOOKUP(P18,Data!$FC$2:$FD$18,2,FALSE),"")</f>
        <v/>
      </c>
      <c r="DZ18" s="157" t="e">
        <f>VLOOKUP(N18,Data!$MK$2:$ML$8,2,FALSE)</f>
        <v>#N/A</v>
      </c>
      <c r="EA18" s="65" t="e">
        <f>VLOOKUP(O18,Data!$DO$4:$DO$157,1,FALSE)</f>
        <v>#N/A</v>
      </c>
      <c r="EB18" s="65" t="e">
        <f t="shared" si="42"/>
        <v>#N/A</v>
      </c>
      <c r="EC18" s="54" t="str">
        <f t="shared" si="43"/>
        <v/>
      </c>
      <c r="ED18" s="157" t="str">
        <f t="shared" si="44"/>
        <v>OK</v>
      </c>
      <c r="EE18" s="169" t="b">
        <f>IF(P18=Data!$NN$3,Data!$NO$2, IF(P18=Data!$NN$4,Data!$NP$2, IF(P18=Data!$NN$5,Data!$NQ$2, IF(P18=Data!$NN$6,Data!$NR$2, IF(P18=Data!$NN$7,Data!$NS$2, IF(P18=Data!$NN$8,Data!$NT$2, IF(P18=Data!$NN$9,Data!$NU$2, IF(P18=Data!$NN$10,Data!$NV$2, IF(P18=Data!$NN$11,Data!$NW$2, IF(P18=Data!$NN$12,Data!$NX$2, IF(P18=Data!$NN$13,Data!$NY$2, IF(P18=Data!$NN$14,Data!$NZ$2, IF(P18=Data!$NN$15,Data!$OA$2, IF(P18=Data!$NN$16,Data!$OB$2, IF(P18=Data!$NN$17,Data!$OC$2, IF(P18=Data!$NN$18,Data!$OD$2, IF(P18=Data!$NN$19,Data!$OE$2, IF(P18=Data!$NN$20,Data!$OG$2))))))))))))))))))</f>
        <v>0</v>
      </c>
      <c r="EF18" s="169" t="b">
        <f>IF(P18=Data!$NN$3,Data!$NO$15,IF(P18=Data!$NN$4,Data!$NP$15,IF(P18=Data!$NN$5,Data!$NQ$15,IF(P18=Data!$NN$6,Data!$NR$15,IF(P18=Data!$NN$7,Data!$NS$15,IF(P18=Data!$NN$8,Data!$NT$15,IF(P18=Data!$NN$9,Data!$NU$15,IF(P18=Data!$NN$10,Data!$NV$15,IF(P18=Data!$NN$11,Data!$NW$15,IF(P18=Data!$NN$12,Data!$NX$15,IF(P18=Data!$NN$13,Data!$NY$15,IF(P18=Data!$NN$14,Data!$NZ$15,IF(N18=Data!$NN$22,Data!$OA$15,IF(N18=Data!$NN$23,Data!$OB$15,IF(P18=Data!$NN$19,Data!$OC$15, IF(P18=Data!$NN$20,Data!$OG$15))))))))))))))))</f>
        <v>0</v>
      </c>
      <c r="EG18" s="330" t="e">
        <f>MATCH(G18, Data!$CW$10:$CW$14,0)</f>
        <v>#N/A</v>
      </c>
      <c r="EH18" s="169" t="e">
        <f>MATCH(J18,Data!$CX$9:$DA$9,0)</f>
        <v>#N/A</v>
      </c>
      <c r="EI18" s="334" t="e">
        <f>INDEX(Data!$CX$10:$DA$14,Shutters!EG18,Shutters!EH18)</f>
        <v>#N/A</v>
      </c>
      <c r="EJ18" s="169" t="str">
        <f>IF(SUM(--ISNUMBER(SEARCH({"combo","Combo","COMBO"}, B35))),"Yes","No")</f>
        <v>No</v>
      </c>
      <c r="EK18" s="169" t="str">
        <f>IF(SUM(--ISNUMBER(SEARCH({"combo","Combo","COMBO"}, F35))),"Yes","No")</f>
        <v>No</v>
      </c>
      <c r="EL18" s="169" t="str">
        <f t="shared" si="45"/>
        <v>No</v>
      </c>
      <c r="EM18" s="157">
        <f t="shared" si="46"/>
        <v>1</v>
      </c>
      <c r="EN18" s="157" t="e">
        <f t="shared" si="47"/>
        <v>#DIV/0!</v>
      </c>
      <c r="EO18" s="169" t="str">
        <f t="shared" si="48"/>
        <v/>
      </c>
      <c r="EP18" s="330" t="str">
        <f t="shared" si="49"/>
        <v/>
      </c>
      <c r="EQ18" s="330" t="str">
        <f t="shared" si="50"/>
        <v/>
      </c>
      <c r="ER18" s="169" t="str">
        <f t="shared" si="51"/>
        <v/>
      </c>
      <c r="ES18" s="169" t="str">
        <f t="shared" si="52"/>
        <v/>
      </c>
      <c r="ET18" s="169" t="str">
        <f t="shared" si="53"/>
        <v/>
      </c>
      <c r="EU18" s="264" t="str">
        <f t="shared" si="54"/>
        <v>No</v>
      </c>
      <c r="EV18" s="330" t="e">
        <f>MATCH(G18,Data!$FH$18:$FL$18,0)</f>
        <v>#N/A</v>
      </c>
      <c r="EW18" s="169" t="e">
        <f>MATCH(N18,Data!$FG$19:$FG$25,0)</f>
        <v>#N/A</v>
      </c>
      <c r="EX18" s="330" t="e">
        <f>INDEX(Data!$FH$19:$FL$25,Shutters!EW18,Shutters!EV18)</f>
        <v>#N/A</v>
      </c>
    </row>
    <row r="19" spans="1:154" ht="36.75" customHeight="1">
      <c r="A19" s="52">
        <v>11</v>
      </c>
      <c r="B19" s="17"/>
      <c r="C19" s="14"/>
      <c r="D19" s="14"/>
      <c r="E19" s="14"/>
      <c r="F19" s="10"/>
      <c r="G19" s="13"/>
      <c r="H19" s="689"/>
      <c r="I19" s="763"/>
      <c r="J19" s="14"/>
      <c r="K19" s="144" t="str">
        <f t="shared" si="11"/>
        <v/>
      </c>
      <c r="L19" s="15"/>
      <c r="M19" s="15"/>
      <c r="N19" s="15"/>
      <c r="O19" s="15"/>
      <c r="P19" s="527"/>
      <c r="Q19" s="527"/>
      <c r="R19" s="13"/>
      <c r="S19" s="13"/>
      <c r="T19" s="13"/>
      <c r="U19" s="13"/>
      <c r="V19" s="15"/>
      <c r="W19" s="15"/>
      <c r="X19" s="16"/>
      <c r="Y19" s="16"/>
      <c r="Z19" s="14"/>
      <c r="AA19" s="14"/>
      <c r="AB19" s="14"/>
      <c r="AC19" s="18"/>
      <c r="AD19" s="164" t="str">
        <f t="shared" si="0"/>
        <v/>
      </c>
      <c r="AE19" s="229"/>
      <c r="AF19" s="230"/>
      <c r="AU19" s="108" t="str">
        <f t="shared" si="12"/>
        <v/>
      </c>
      <c r="AV19" s="65" t="e">
        <f t="shared" si="13"/>
        <v>#N/A</v>
      </c>
      <c r="AW19" s="169" t="e">
        <f>VLOOKUP(P19,Data!$MI$2:$MJ$4,2,FALSE)</f>
        <v>#N/A</v>
      </c>
      <c r="AX19" s="169" t="e">
        <f t="shared" si="14"/>
        <v>#N/A</v>
      </c>
      <c r="AY19" s="169" t="e">
        <f>VLOOKUP(N19,Data!$BI$24:$BJ$30,2,FALSE)</f>
        <v>#N/A</v>
      </c>
      <c r="AZ19" s="155" t="b">
        <f>IF(G19=Data!$BO$2,Data!$BS$2, IF(Shutters!G19=Data!$BP$2,Data!$BT$2, IF(Shutters!G19=Data!$BQ$2,Data!$BU$2)))</f>
        <v>0</v>
      </c>
      <c r="BA19" s="340" t="str">
        <f t="shared" si="15"/>
        <v>No</v>
      </c>
      <c r="BB19" s="155" t="e">
        <f t="shared" si="16"/>
        <v>#DIV/0!</v>
      </c>
      <c r="BC19" s="340" t="e">
        <f t="shared" si="17"/>
        <v>#DIV/0!</v>
      </c>
      <c r="BD19" s="155" t="e">
        <f t="shared" si="1"/>
        <v>#DIV/0!</v>
      </c>
      <c r="BE19" s="340" t="str">
        <f t="shared" si="18"/>
        <v>No</v>
      </c>
      <c r="BF19" s="155" t="str">
        <f t="shared" si="19"/>
        <v>NotRequired</v>
      </c>
      <c r="BG19" s="155" t="b">
        <f>IF(G19=Data!$BO$2,Data!$CM$2, IF(Shutters!G19=Data!$BP$2,Data!$CN$2, IF(Shutters!G19=Data!$BQ$2,Data!$CO$2)))</f>
        <v>0</v>
      </c>
      <c r="BH19" s="155" t="e">
        <f t="shared" si="20"/>
        <v>#DIV/0!</v>
      </c>
      <c r="BI19" s="156" t="str">
        <f t="shared" si="2"/>
        <v>NoHighlight</v>
      </c>
      <c r="BJ19" s="340" t="str">
        <f t="shared" si="21"/>
        <v>FauxwoodRPNo</v>
      </c>
      <c r="BK19" s="156" t="str">
        <f>IF(SUM(--ISNUMBER( SEARCH({"t","T"},O19))),"Yes","No")</f>
        <v>No</v>
      </c>
      <c r="BL19" s="156" t="str">
        <f t="shared" si="22"/>
        <v>OK</v>
      </c>
      <c r="BM19" s="156" t="str">
        <f t="shared" si="23"/>
        <v>OK</v>
      </c>
      <c r="BN19" s="156" t="str">
        <f t="shared" si="24"/>
        <v>OK</v>
      </c>
      <c r="BO19" s="156" t="e">
        <f>IF(OR(AND(F19&gt;1,#REF!="L",#REF!="l"),AND(F19&gt;1,#REF!="R",#REF!="r"),AND(F19&gt;2,#REF!="LR",#REF!="lr")), "Error","OK")</f>
        <v>#REF!</v>
      </c>
      <c r="BP19" s="156" t="str">
        <f t="shared" si="3"/>
        <v>FauxwoodAINo</v>
      </c>
      <c r="BQ19" s="156" t="str">
        <f>IF(SUM(--ISNUMBER(SEARCH({"combo","Combo","COMBO"}, B36))),"Yes","No")</f>
        <v>No</v>
      </c>
      <c r="BR19" s="156" t="str">
        <f t="shared" si="25"/>
        <v>No</v>
      </c>
      <c r="BS19" s="156" t="str">
        <f>IF(SUM(--ISNUMBER( SEARCH({"c","C","b","B"},#REF!))),"Yes","No")</f>
        <v>No</v>
      </c>
      <c r="BT19" s="157">
        <f t="shared" si="4"/>
        <v>0</v>
      </c>
      <c r="BU19" s="169" t="str">
        <f>IF(N19=Data!$BI$3,Data!$DR$3,IF(N19=Data!$BI$4,Data!$DS$3,IF(N19=Data!$BI$5,Data!$DT$3,IF(N19=Data!$BI$6,Data!$DU$3,IF(N19=Data!$BI$7,Data!$DV$3, IF(N19=Data!$BI$8,Data!$DX$3, IF(N19=Data!$BI$9,Data!$DW$3, "")))))))</f>
        <v/>
      </c>
      <c r="BV19" s="169" t="str">
        <f>IF(N19=Data!$BI$3,Data!$DY$3,IF(N19=Data!$BI$4,Data!$DZ$3,IF(N19=Data!$BI$5,Data!$EA$3,IF(N19=Data!$BI$6,Data!$EB$3,IF(N19=Data!$BI$7,Data!$EC$3,IF(N19=Data!$BI$8,Data!$EE$3, IF(N19=Data!$BI$9,Data!$ED$3,"")))))))</f>
        <v/>
      </c>
      <c r="BW19" s="157">
        <f t="shared" si="5"/>
        <v>0</v>
      </c>
      <c r="BX19" s="157">
        <f t="shared" si="6"/>
        <v>0</v>
      </c>
      <c r="BY19" s="169" t="e">
        <f t="shared" si="26"/>
        <v>#DIV/0!</v>
      </c>
      <c r="BZ19" s="330" t="b">
        <f>IF(G19=Data!$EU$2,Data!$ES$2,IF(G19=Data!$EU$3,Data!$ER$2, IF(G19=Data!$EU$5,Data!$ET$2, IF(G19=Data!$EU$4,Data!$EQ$2,IF(G19=Data!$EU$6,Data!$ER$2)))))</f>
        <v>0</v>
      </c>
      <c r="CA19" s="330" t="b">
        <f>IF(G19=Data!$EU$2,Data!$EW$2,IF(G19=Data!$EU$3,Data!$EX$2,IF(G19=Data!$EU$4,Data!$EY$2, IF(G19=Data!$EU$5,Data!$EY$2,IF(G19=Data!$EU$6,Data!$EX$2)))))</f>
        <v>0</v>
      </c>
      <c r="CB19" s="169" t="e">
        <f>VLOOKUP(M19,Data!$EJ$3:$EK$14,2,FALSE)</f>
        <v>#N/A</v>
      </c>
      <c r="CC19" s="169" t="str">
        <f>IF(J19="114mm",VLOOKUP(H19,Data!$FA$2:$FB$18,2,FALSE),"OK")</f>
        <v>OK</v>
      </c>
      <c r="CD19" s="169" t="e">
        <f t="shared" si="7"/>
        <v>#DIV/0!</v>
      </c>
      <c r="CE19" s="169" t="str">
        <f>IF(OR(AND(R19="",P19&lt;&gt;"")),VLOOKUP(P19,Data!$FC$2:$FD$18,2,FALSE),"")</f>
        <v/>
      </c>
      <c r="CF19" s="169" t="str">
        <f>IF(N19=Data!$BI$3,Data!$FJ$1,IF(N19=Data!$BI$4,Data!$FK$1,IF(N19=Data!$BI$5,Data!$FL$1,IF(N19=Data!$BI$6,Data!$FM$1,IF(N19=Data!$BI$7,Data!$FN$1, IF(N19=Data!$BI$8,Data!$FO$1, IF(N19=Data!$BI$9,Data!$FI$1, "")))))))</f>
        <v/>
      </c>
      <c r="CG19" s="169" t="str">
        <f>IF(SUM(--ISNUMBER(SEARCH({"z","Z"}, P19))),"Yes","No")</f>
        <v>No</v>
      </c>
      <c r="CH19" s="169" t="str">
        <f t="shared" si="8"/>
        <v>OK</v>
      </c>
      <c r="CI19" s="169">
        <f t="shared" si="27"/>
        <v>0</v>
      </c>
      <c r="CJ19" s="169" t="e">
        <f>VLOOKUP(O19,Data!$DO$4:$DP$156,2,FALSE)</f>
        <v>#N/A</v>
      </c>
      <c r="CK19" s="169" t="e">
        <f t="shared" si="9"/>
        <v>#N/A</v>
      </c>
      <c r="CL19" s="157"/>
      <c r="CM19" s="157"/>
      <c r="CN19" s="157"/>
      <c r="CO19" s="344" t="str">
        <f t="shared" si="28"/>
        <v>OK</v>
      </c>
      <c r="CP19" s="169" t="b">
        <f t="shared" si="29"/>
        <v>0</v>
      </c>
      <c r="CQ19" s="169">
        <f t="shared" si="30"/>
        <v>0</v>
      </c>
      <c r="CR19" s="169">
        <f t="shared" si="31"/>
        <v>1</v>
      </c>
      <c r="CS19" s="169">
        <f t="shared" si="32"/>
        <v>0</v>
      </c>
      <c r="CT19" s="157" t="e">
        <f t="shared" si="33"/>
        <v>#DIV/0!</v>
      </c>
      <c r="CU19" s="169" t="b">
        <f>IF(H19=Data!$BD$3,Data!$HC$2,IF(H19=Data!$BD$4,Data!$HM$2,IF(H19=Data!$BD$5,Data!$HF$2,IF(H19=Data!$BD$6,Data!$HB$2,IF(H19=Data!$BD$7,Data!$HD$2,IF(H19=Data!$BD$8,Data!$HJ$2,IF(H19=Data!$BD$9,Data!$HN$2,IF(H19=Data!$BD$10,Data!$HA$2,IF(H19=Data!$BD$11,Data!$HI$2)))))))))</f>
        <v>0</v>
      </c>
      <c r="CV19" s="276" t="b">
        <f>IF(H19=Data!$BE$3,Data!$HQ$2, IF(H19=Data!$BE$4,Data!$HP$2, IF(H19=Data!$BE$5,Data!$HR$2, IF(H19=Data!$BE$6,Data!$HO$2))))</f>
        <v>0</v>
      </c>
      <c r="CW19" s="330" t="b">
        <f>IF(H19=Data!$BH$3,Data!$HU$2, IF(H19=Data!$BH$4,Data!$HT$2, IF(H19=Data!$BH$5,Data!$HS$2)))</f>
        <v>0</v>
      </c>
      <c r="CX19" s="330" t="b">
        <f>IF(H19=Data!$BF$3,Data!$HQ$16, IF(H19=Data!$BF$4,Data!$HP$16, IF(H19=Data!$BF$5,Data!$HR$16, IF(H19=Data!$BF$6,Data!$HO$16))))</f>
        <v>0</v>
      </c>
      <c r="CY19" s="330" t="b">
        <f>IF(G19=Data!$BC$3,Shutters!CU19,IF(G19=Data!$BC$4,Shutters!CV19,IF(G19=Data!$BC$6,Shutters!CW19, IF(G19=Data!$BC$5, Shutters!CX19,IF(G19=Data!$BC$7,Shutters!CV19)))))</f>
        <v>0</v>
      </c>
      <c r="CZ19" s="157" t="e">
        <f>IF(OR(AND(L19&gt;0,#REF!="")), "Error","OK")</f>
        <v>#REF!</v>
      </c>
      <c r="DA19" s="169" t="e">
        <f>IF(COUNTIF(#REF!,Data!$CX$6),"Yes","")</f>
        <v>#REF!</v>
      </c>
      <c r="DB19" s="54" t="str">
        <f t="shared" si="34"/>
        <v/>
      </c>
      <c r="DE19" s="54" t="str">
        <f>IF(N19=Data!$BI$5,"Yes",IF(N19=Data!$BI$6,"Yes","No"))</f>
        <v>No</v>
      </c>
      <c r="DF19" s="65" t="b">
        <f>IF(N19=Data!$BI$3,Data!$JB$2,IF(N19=Data!$BI$4,Data!$JC$2,IF(N19=Data!$BI$5,Data!$JD$2,IF(N19=Data!$BI$6,Data!$JE$2,IF(N19=Data!$BI$7,Data!$JF$2, IF(N19=Data!$BI$8,Data!$JA$2, IF(N19=Data!$BI$9,Data!$JG$2)))))))</f>
        <v>0</v>
      </c>
      <c r="DI19" s="65" t="e">
        <f>VLOOKUP(O19,Data!$DO$4:$DQ$156,3,FALSE)</f>
        <v>#N/A</v>
      </c>
      <c r="DJ19" s="54" t="e">
        <f t="shared" si="10"/>
        <v>#N/A</v>
      </c>
      <c r="DK19" s="54" t="e">
        <f t="shared" si="35"/>
        <v>#N/A</v>
      </c>
      <c r="DL19" s="54" t="b">
        <f>IF(P19=Data!$BK$3,Data!$JH$2,IF(P19=Data!$BK$4,Data!$JI$2,IF(P19=Data!$BK$5,Data!$JJ$2,IF(P19=Data!$BK$6,Data!$JK$2,IF(P19=Data!$BK$7,Data!$JL$2,IF(P19=Data!$BK$8,Data!$JM$2,IF(P19=Data!$BK$9,Data!$JN$2,IF(P19=Data!$BK$10,Data!$JO$2,IF(P19=Data!$BK$11,Data!$JP$2,IF(P19=Data!$BK$12,Data!$JQ$2,IF(P19=Data!$BK$13,Data!$JR$2,IF(P19=Data!$BK$14,Data!$JS$2,IF(P19=Data!$BK$15,Data!$JT$2,IF(P19=Data!$BK$16,Data!$JU$2,IF(P19=Data!$BK$17,Data!$JV$2,IF(P19=Data!$BK$18,Data!$JW$2, IF(P19=Data!$BK$19,Data!$JX$2, IF(P19=Data!$BK$20,Data!$JY$2))))))))))))))))))</f>
        <v>0</v>
      </c>
      <c r="DN19" s="169" t="str">
        <f t="shared" si="36"/>
        <v/>
      </c>
      <c r="DO19" s="169" t="e">
        <f t="shared" si="37"/>
        <v>#N/A</v>
      </c>
      <c r="DP19" s="169" t="str">
        <f t="shared" si="38"/>
        <v>OK</v>
      </c>
      <c r="DQ19" s="169" t="str">
        <f t="shared" si="39"/>
        <v>OK</v>
      </c>
      <c r="DR19" s="169" t="str">
        <f t="shared" si="40"/>
        <v>OK</v>
      </c>
      <c r="DS19" s="169" t="str">
        <f t="shared" si="41"/>
        <v>OK</v>
      </c>
      <c r="DT19" s="65" t="b">
        <f>IF(N19=Data!$LW$2,Data!$LX$1,IF(N19=Data!$LW$3,Data!$LY$1,IF(N19=Data!$LW$4,Data!$LZ$1,IF(N19=Data!$LW$5,Data!$MA$1,IF(N19=Data!$LW$6,Data!$MB$1,IF(N19=Data!$LW$7,Data!$MC$1, IF(N19=Data!$LW$8,Data!$MX$1)))))))</f>
        <v>0</v>
      </c>
      <c r="DU19" s="65" t="b">
        <f>IF(E19=Data!$MD$2,Data!$ME$2, IF(E19=Data!$MD$3,Data!$MF$2, IF(E19=Data!$MD$4,Data!$MG$2)))</f>
        <v>0</v>
      </c>
      <c r="DV19" s="54" t="str">
        <f>IF(E19="MS", Data!$AK$1, Data!$EJ$2)</f>
        <v>Special_Window</v>
      </c>
      <c r="DW19" s="65" t="str">
        <f>IF(OR(AND(S19="",P19&lt;&gt;"")),VLOOKUP(P19,Data!$FC$2:$FD$18,2,FALSE),"")</f>
        <v/>
      </c>
      <c r="DX19" s="65" t="str">
        <f>IF(OR(AND(T19="",P19&lt;&gt;"")),VLOOKUP(P19,Data!$FC$2:$FD$18,2,FALSE),"")</f>
        <v/>
      </c>
      <c r="DY19" s="65" t="str">
        <f>IF(OR(AND(U19="",P19&lt;&gt;"")),VLOOKUP(P19,Data!$FC$2:$FD$18,2,FALSE),"")</f>
        <v/>
      </c>
      <c r="DZ19" s="157" t="e">
        <f>VLOOKUP(N19,Data!$MK$2:$ML$8,2,FALSE)</f>
        <v>#N/A</v>
      </c>
      <c r="EA19" s="65" t="e">
        <f>VLOOKUP(O19,Data!$DO$4:$DO$157,1,FALSE)</f>
        <v>#N/A</v>
      </c>
      <c r="EB19" s="65" t="e">
        <f t="shared" si="42"/>
        <v>#N/A</v>
      </c>
      <c r="EC19" s="54" t="str">
        <f t="shared" si="43"/>
        <v/>
      </c>
      <c r="ED19" s="157" t="str">
        <f t="shared" si="44"/>
        <v>OK</v>
      </c>
      <c r="EE19" s="169" t="b">
        <f>IF(P19=Data!$NN$3,Data!$NO$2, IF(P19=Data!$NN$4,Data!$NP$2, IF(P19=Data!$NN$5,Data!$NQ$2, IF(P19=Data!$NN$6,Data!$NR$2, IF(P19=Data!$NN$7,Data!$NS$2, IF(P19=Data!$NN$8,Data!$NT$2, IF(P19=Data!$NN$9,Data!$NU$2, IF(P19=Data!$NN$10,Data!$NV$2, IF(P19=Data!$NN$11,Data!$NW$2, IF(P19=Data!$NN$12,Data!$NX$2, IF(P19=Data!$NN$13,Data!$NY$2, IF(P19=Data!$NN$14,Data!$NZ$2, IF(P19=Data!$NN$15,Data!$OA$2, IF(P19=Data!$NN$16,Data!$OB$2, IF(P19=Data!$NN$17,Data!$OC$2, IF(P19=Data!$NN$18,Data!$OD$2, IF(P19=Data!$NN$19,Data!$OE$2, IF(P19=Data!$NN$20,Data!$OG$2))))))))))))))))))</f>
        <v>0</v>
      </c>
      <c r="EF19" s="169" t="b">
        <f>IF(P19=Data!$NN$3,Data!$NO$15,IF(P19=Data!$NN$4,Data!$NP$15,IF(P19=Data!$NN$5,Data!$NQ$15,IF(P19=Data!$NN$6,Data!$NR$15,IF(P19=Data!$NN$7,Data!$NS$15,IF(P19=Data!$NN$8,Data!$NT$15,IF(P19=Data!$NN$9,Data!$NU$15,IF(P19=Data!$NN$10,Data!$NV$15,IF(P19=Data!$NN$11,Data!$NW$15,IF(P19=Data!$NN$12,Data!$NX$15,IF(P19=Data!$NN$13,Data!$NY$15,IF(P19=Data!$NN$14,Data!$NZ$15,IF(N19=Data!$NN$22,Data!$OA$15,IF(N19=Data!$NN$23,Data!$OB$15,IF(P19=Data!$NN$19,Data!$OC$15, IF(P19=Data!$NN$20,Data!$OG$15))))))))))))))))</f>
        <v>0</v>
      </c>
      <c r="EG19" s="330" t="e">
        <f>MATCH(G19, Data!$CW$10:$CW$14,0)</f>
        <v>#N/A</v>
      </c>
      <c r="EH19" s="169" t="e">
        <f>MATCH(J19,Data!$CX$9:$DA$9,0)</f>
        <v>#N/A</v>
      </c>
      <c r="EI19" s="334" t="e">
        <f>INDEX(Data!$CX$10:$DA$14,Shutters!EG19,Shutters!EH19)</f>
        <v>#N/A</v>
      </c>
      <c r="EJ19" s="169" t="str">
        <f>IF(SUM(--ISNUMBER(SEARCH({"combo","Combo","COMBO"}, B36))),"Yes","No")</f>
        <v>No</v>
      </c>
      <c r="EK19" s="169" t="str">
        <f>IF(SUM(--ISNUMBER(SEARCH({"combo","Combo","COMBO"}, F36))),"Yes","No")</f>
        <v>No</v>
      </c>
      <c r="EL19" s="169" t="str">
        <f t="shared" si="45"/>
        <v>No</v>
      </c>
      <c r="EM19" s="157">
        <f t="shared" si="46"/>
        <v>1</v>
      </c>
      <c r="EN19" s="157" t="e">
        <f t="shared" si="47"/>
        <v>#DIV/0!</v>
      </c>
      <c r="EO19" s="169" t="str">
        <f t="shared" si="48"/>
        <v/>
      </c>
      <c r="EP19" s="330" t="str">
        <f t="shared" si="49"/>
        <v/>
      </c>
      <c r="EQ19" s="330" t="str">
        <f t="shared" si="50"/>
        <v/>
      </c>
      <c r="ER19" s="169" t="str">
        <f t="shared" si="51"/>
        <v/>
      </c>
      <c r="ES19" s="169" t="str">
        <f t="shared" si="52"/>
        <v/>
      </c>
      <c r="ET19" s="169" t="str">
        <f t="shared" si="53"/>
        <v/>
      </c>
      <c r="EU19" s="264" t="str">
        <f t="shared" si="54"/>
        <v>No</v>
      </c>
      <c r="EV19" s="330" t="e">
        <f>MATCH(G19,Data!$FH$18:$FL$18,0)</f>
        <v>#N/A</v>
      </c>
      <c r="EW19" s="169" t="e">
        <f>MATCH(N19,Data!$FG$19:$FG$25,0)</f>
        <v>#N/A</v>
      </c>
      <c r="EX19" s="330" t="e">
        <f>INDEX(Data!$FH$19:$FL$25,Shutters!EW19,Shutters!EV19)</f>
        <v>#N/A</v>
      </c>
    </row>
    <row r="20" spans="1:154" ht="36.75" customHeight="1">
      <c r="A20" s="52">
        <v>12</v>
      </c>
      <c r="B20" s="17"/>
      <c r="C20" s="14"/>
      <c r="D20" s="14"/>
      <c r="E20" s="14"/>
      <c r="F20" s="10"/>
      <c r="G20" s="13"/>
      <c r="H20" s="689"/>
      <c r="I20" s="763"/>
      <c r="J20" s="14"/>
      <c r="K20" s="144" t="str">
        <f t="shared" si="11"/>
        <v/>
      </c>
      <c r="L20" s="15"/>
      <c r="M20" s="15"/>
      <c r="N20" s="15"/>
      <c r="O20" s="15"/>
      <c r="P20" s="527"/>
      <c r="Q20" s="527"/>
      <c r="R20" s="13"/>
      <c r="S20" s="13"/>
      <c r="T20" s="13"/>
      <c r="U20" s="13"/>
      <c r="V20" s="15"/>
      <c r="W20" s="15"/>
      <c r="X20" s="16"/>
      <c r="Y20" s="16"/>
      <c r="Z20" s="14"/>
      <c r="AA20" s="14"/>
      <c r="AB20" s="14"/>
      <c r="AC20" s="18"/>
      <c r="AD20" s="164" t="str">
        <f>IF(SUM(D20)=0,"",IF(E20="MS",SUM(((C20*D20)/1000000)*F20),SUM(((C20*D20)/1000000))))</f>
        <v/>
      </c>
      <c r="AE20" s="229"/>
      <c r="AF20" s="230"/>
      <c r="AU20" s="108" t="str">
        <f t="shared" si="12"/>
        <v/>
      </c>
      <c r="AV20" s="65" t="e">
        <f t="shared" si="13"/>
        <v>#N/A</v>
      </c>
      <c r="AW20" s="169" t="e">
        <f>VLOOKUP(P20,Data!$MI$2:$MJ$4,2,FALSE)</f>
        <v>#N/A</v>
      </c>
      <c r="AX20" s="169" t="e">
        <f t="shared" si="14"/>
        <v>#N/A</v>
      </c>
      <c r="AY20" s="169" t="e">
        <f>VLOOKUP(N20,Data!$BI$24:$BJ$30,2,FALSE)</f>
        <v>#N/A</v>
      </c>
      <c r="AZ20" s="155" t="b">
        <f>IF(G20=Data!$BO$2,Data!$BS$2, IF(Shutters!G20=Data!$BP$2,Data!$BT$2, IF(Shutters!G20=Data!$BQ$2,Data!$BU$2)))</f>
        <v>0</v>
      </c>
      <c r="BA20" s="340" t="str">
        <f t="shared" si="15"/>
        <v>No</v>
      </c>
      <c r="BB20" s="155" t="e">
        <f t="shared" si="16"/>
        <v>#DIV/0!</v>
      </c>
      <c r="BC20" s="340" t="e">
        <f t="shared" si="17"/>
        <v>#DIV/0!</v>
      </c>
      <c r="BD20" s="155" t="e">
        <f t="shared" si="1"/>
        <v>#DIV/0!</v>
      </c>
      <c r="BE20" s="340" t="str">
        <f t="shared" si="18"/>
        <v>No</v>
      </c>
      <c r="BF20" s="155" t="str">
        <f t="shared" si="19"/>
        <v>NotRequired</v>
      </c>
      <c r="BG20" s="155" t="b">
        <f>IF(G20=Data!$BO$2,Data!$CM$2, IF(Shutters!G20=Data!$BP$2,Data!$CN$2, IF(Shutters!G20=Data!$BQ$2,Data!$CO$2)))</f>
        <v>0</v>
      </c>
      <c r="BH20" s="155" t="e">
        <f t="shared" si="20"/>
        <v>#DIV/0!</v>
      </c>
      <c r="BI20" s="156" t="str">
        <f t="shared" si="2"/>
        <v>NoHighlight</v>
      </c>
      <c r="BJ20" s="340" t="str">
        <f t="shared" si="21"/>
        <v>FauxwoodRPNo</v>
      </c>
      <c r="BK20" s="156" t="str">
        <f>IF(SUM(--ISNUMBER( SEARCH({"t","T"},O20))),"Yes","No")</f>
        <v>No</v>
      </c>
      <c r="BL20" s="156" t="str">
        <f t="shared" si="22"/>
        <v>OK</v>
      </c>
      <c r="BM20" s="156" t="str">
        <f t="shared" si="23"/>
        <v>OK</v>
      </c>
      <c r="BN20" s="156" t="str">
        <f t="shared" si="24"/>
        <v>OK</v>
      </c>
      <c r="BO20" s="156" t="e">
        <f>IF(OR(AND(F20&gt;1,#REF!="L",#REF!="l"),AND(F20&gt;1,#REF!="R",#REF!="r"),AND(F20&gt;2,#REF!="LR",#REF!="lr")), "Error","OK")</f>
        <v>#REF!</v>
      </c>
      <c r="BP20" s="156" t="str">
        <f t="shared" si="3"/>
        <v>FauxwoodAINo</v>
      </c>
      <c r="BQ20" s="156" t="str">
        <f>IF(SUM(--ISNUMBER(SEARCH({"combo","Combo","COMBO"}, B37))),"Yes","No")</f>
        <v>No</v>
      </c>
      <c r="BR20" s="156" t="str">
        <f t="shared" si="25"/>
        <v>No</v>
      </c>
      <c r="BS20" s="156" t="str">
        <f>IF(SUM(--ISNUMBER( SEARCH({"c","C","b","B"},#REF!))),"Yes","No")</f>
        <v>No</v>
      </c>
      <c r="BT20" s="157">
        <f t="shared" si="4"/>
        <v>0</v>
      </c>
      <c r="BU20" s="169" t="str">
        <f>IF(N20=Data!$BI$3,Data!$DR$3,IF(N20=Data!$BI$4,Data!$DS$3,IF(N20=Data!$BI$5,Data!$DT$3,IF(N20=Data!$BI$6,Data!$DU$3,IF(N20=Data!$BI$7,Data!$DV$3, IF(N20=Data!$BI$8,Data!$DX$3, IF(N20=Data!$BI$9,Data!$DW$3, "")))))))</f>
        <v/>
      </c>
      <c r="BV20" s="169" t="str">
        <f>IF(N20=Data!$BI$3,Data!$DY$3,IF(N20=Data!$BI$4,Data!$DZ$3,IF(N20=Data!$BI$5,Data!$EA$3,IF(N20=Data!$BI$6,Data!$EB$3,IF(N20=Data!$BI$7,Data!$EC$3,IF(N20=Data!$BI$8,Data!$EE$3, IF(N20=Data!$BI$9,Data!$ED$3,"")))))))</f>
        <v/>
      </c>
      <c r="BW20" s="157">
        <f t="shared" si="5"/>
        <v>0</v>
      </c>
      <c r="BX20" s="157">
        <f t="shared" si="6"/>
        <v>0</v>
      </c>
      <c r="BY20" s="169" t="e">
        <f t="shared" si="26"/>
        <v>#DIV/0!</v>
      </c>
      <c r="BZ20" s="330" t="b">
        <f>IF(G20=Data!$EU$2,Data!$ES$2,IF(G20=Data!$EU$3,Data!$ER$2, IF(G20=Data!$EU$5,Data!$ET$2, IF(G20=Data!$EU$4,Data!$EQ$2,IF(G20=Data!$EU$6,Data!$ER$2)))))</f>
        <v>0</v>
      </c>
      <c r="CA20" s="330" t="b">
        <f>IF(G20=Data!$EU$2,Data!$EW$2,IF(G20=Data!$EU$3,Data!$EX$2,IF(G20=Data!$EU$4,Data!$EY$2, IF(G20=Data!$EU$5,Data!$EY$2,IF(G20=Data!$EU$6,Data!$EX$2)))))</f>
        <v>0</v>
      </c>
      <c r="CB20" s="169" t="e">
        <f>VLOOKUP(M20,Data!$EJ$3:$EK$14,2,FALSE)</f>
        <v>#N/A</v>
      </c>
      <c r="CC20" s="169" t="str">
        <f>IF(J20="114mm",VLOOKUP(H20,Data!$FA$2:$FB$18,2,FALSE),"OK")</f>
        <v>OK</v>
      </c>
      <c r="CD20" s="169" t="e">
        <f t="shared" si="7"/>
        <v>#DIV/0!</v>
      </c>
      <c r="CE20" s="169" t="str">
        <f>IF(OR(AND(R20="",P20&lt;&gt;"")),VLOOKUP(P20,Data!$FC$2:$FD$18,2,FALSE),"")</f>
        <v/>
      </c>
      <c r="CF20" s="169" t="str">
        <f>IF(N20=Data!$BI$3,Data!$FJ$1,IF(N20=Data!$BI$4,Data!$FK$1,IF(N20=Data!$BI$5,Data!$FL$1,IF(N20=Data!$BI$6,Data!$FM$1,IF(N20=Data!$BI$7,Data!$FN$1, IF(N20=Data!$BI$8,Data!$FO$1, IF(N20=Data!$BI$9,Data!$FI$1, "")))))))</f>
        <v/>
      </c>
      <c r="CG20" s="169" t="str">
        <f>IF(SUM(--ISNUMBER(SEARCH({"z","Z"}, P20))),"Yes","No")</f>
        <v>No</v>
      </c>
      <c r="CH20" s="169" t="str">
        <f t="shared" si="8"/>
        <v>OK</v>
      </c>
      <c r="CI20" s="169">
        <f t="shared" si="27"/>
        <v>0</v>
      </c>
      <c r="CJ20" s="169" t="e">
        <f>VLOOKUP(O20,Data!$DO$4:$DP$156,2,FALSE)</f>
        <v>#N/A</v>
      </c>
      <c r="CK20" s="169" t="e">
        <f t="shared" si="9"/>
        <v>#N/A</v>
      </c>
      <c r="CL20" s="157"/>
      <c r="CM20" s="157"/>
      <c r="CN20" s="157"/>
      <c r="CO20" s="344" t="str">
        <f t="shared" si="28"/>
        <v>OK</v>
      </c>
      <c r="CP20" s="169" t="b">
        <f t="shared" si="29"/>
        <v>0</v>
      </c>
      <c r="CQ20" s="169">
        <f>IF(E20="IN",1,IF(E20="OUT",1,0))</f>
        <v>0</v>
      </c>
      <c r="CR20" s="169">
        <f>IF(P20="No Frame",0,IF(P20="Hanging Strip",0,1))</f>
        <v>1</v>
      </c>
      <c r="CS20" s="169">
        <f>CP20*CQ20*CR20</f>
        <v>0</v>
      </c>
      <c r="CT20" s="157" t="e">
        <f t="shared" si="33"/>
        <v>#DIV/0!</v>
      </c>
      <c r="CU20" s="169" t="b">
        <f>IF(H20=Data!$BD$3,Data!$HC$2,IF(H20=Data!$BD$4,Data!$HM$2,IF(H20=Data!$BD$5,Data!$HF$2,IF(H20=Data!$BD$6,Data!$HB$2,IF(H20=Data!$BD$7,Data!$HD$2,IF(H20=Data!$BD$8,Data!$HJ$2,IF(H20=Data!$BD$9,Data!$HN$2,IF(H20=Data!$BD$10,Data!$HA$2,IF(H20=Data!$BD$11,Data!$HI$2)))))))))</f>
        <v>0</v>
      </c>
      <c r="CV20" s="276" t="b">
        <f>IF(H20=Data!$BE$3,Data!$HQ$2, IF(H20=Data!$BE$4,Data!$HP$2, IF(H20=Data!$BE$5,Data!$HR$2, IF(H20=Data!$BE$6,Data!$HO$2))))</f>
        <v>0</v>
      </c>
      <c r="CW20" s="330" t="b">
        <f>IF(H20=Data!$BH$3,Data!$HU$2, IF(H20=Data!$BH$4,Data!$HT$2, IF(H20=Data!$BH$5,Data!$HS$2)))</f>
        <v>0</v>
      </c>
      <c r="CX20" s="330" t="b">
        <f>IF(H20=Data!$BF$3,Data!$HQ$16, IF(H20=Data!$BF$4,Data!$HP$16, IF(H20=Data!$BF$5,Data!$HR$16, IF(H20=Data!$BF$6,Data!$HO$16))))</f>
        <v>0</v>
      </c>
      <c r="CY20" s="330" t="b">
        <f>IF(G20=Data!$BC$3,Shutters!CU20,IF(G20=Data!$BC$4,Shutters!CV20,IF(G20=Data!$BC$6,Shutters!CW20, IF(G20=Data!$BC$5, Shutters!CX20,IF(G20=Data!$BC$7,Shutters!CV20)))))</f>
        <v>0</v>
      </c>
      <c r="CZ20" s="157" t="e">
        <f>IF(OR(AND(L20&gt;0,#REF!="")), "Error","OK")</f>
        <v>#REF!</v>
      </c>
      <c r="DA20" s="169" t="e">
        <f>IF(COUNTIF(#REF!,Data!$CX$6),"Yes","")</f>
        <v>#REF!</v>
      </c>
      <c r="DB20" s="54" t="str">
        <f t="shared" si="34"/>
        <v/>
      </c>
      <c r="DE20" s="54" t="str">
        <f>IF(N20=Data!$BI$5,"Yes",IF(N20=Data!$BI$6,"Yes","No"))</f>
        <v>No</v>
      </c>
      <c r="DF20" s="65" t="b">
        <f>IF(N20=Data!$BI$3,Data!$JB$2,IF(N20=Data!$BI$4,Data!$JC$2,IF(N20=Data!$BI$5,Data!$JD$2,IF(N20=Data!$BI$6,Data!$JE$2,IF(N20=Data!$BI$7,Data!$JF$2, IF(N20=Data!$BI$8,Data!$JA$2, IF(N20=Data!$BI$9,Data!$JG$2)))))))</f>
        <v>0</v>
      </c>
      <c r="DI20" s="65" t="e">
        <f>VLOOKUP(O20,Data!$DO$4:$DQ$156,3,FALSE)</f>
        <v>#N/A</v>
      </c>
      <c r="DJ20" s="54" t="e">
        <f t="shared" si="10"/>
        <v>#N/A</v>
      </c>
      <c r="DK20" s="54" t="e">
        <f t="shared" si="35"/>
        <v>#N/A</v>
      </c>
      <c r="DL20" s="54" t="b">
        <f>IF(P20=Data!$BK$3,Data!$JH$2,IF(P20=Data!$BK$4,Data!$JI$2,IF(P20=Data!$BK$5,Data!$JJ$2,IF(P20=Data!$BK$6,Data!$JK$2,IF(P20=Data!$BK$7,Data!$JL$2,IF(P20=Data!$BK$8,Data!$JM$2,IF(P20=Data!$BK$9,Data!$JN$2,IF(P20=Data!$BK$10,Data!$JO$2,IF(P20=Data!$BK$11,Data!$JP$2,IF(P20=Data!$BK$12,Data!$JQ$2,IF(P20=Data!$BK$13,Data!$JR$2,IF(P20=Data!$BK$14,Data!$JS$2,IF(P20=Data!$BK$15,Data!$JT$2,IF(P20=Data!$BK$16,Data!$JU$2,IF(P20=Data!$BK$17,Data!$JV$2,IF(P20=Data!$BK$18,Data!$JW$2, IF(P20=Data!$BK$19,Data!$JX$2, IF(P20=Data!$BK$20,Data!$JY$2))))))))))))))))))</f>
        <v>0</v>
      </c>
      <c r="DN20" s="169" t="str">
        <f t="shared" si="36"/>
        <v/>
      </c>
      <c r="DO20" s="169" t="e">
        <f t="shared" si="37"/>
        <v>#N/A</v>
      </c>
      <c r="DP20" s="169" t="str">
        <f t="shared" si="38"/>
        <v>OK</v>
      </c>
      <c r="DQ20" s="169" t="str">
        <f t="shared" si="39"/>
        <v>OK</v>
      </c>
      <c r="DR20" s="169" t="str">
        <f t="shared" si="40"/>
        <v>OK</v>
      </c>
      <c r="DS20" s="169" t="str">
        <f t="shared" si="41"/>
        <v>OK</v>
      </c>
      <c r="DT20" s="65" t="b">
        <f>IF(N20=Data!$LW$2,Data!$LX$1,IF(N20=Data!$LW$3,Data!$LY$1,IF(N20=Data!$LW$4,Data!$LZ$1,IF(N20=Data!$LW$5,Data!$MA$1,IF(N20=Data!$LW$6,Data!$MB$1,IF(N20=Data!$LW$7,Data!$MC$1, IF(N20=Data!$LW$8,Data!$MX$1)))))))</f>
        <v>0</v>
      </c>
      <c r="DU20" s="65" t="b">
        <f>IF(E20=Data!$MD$2,Data!$ME$2, IF(E20=Data!$MD$3,Data!$MF$2, IF(E20=Data!$MD$4,Data!$MG$2)))</f>
        <v>0</v>
      </c>
      <c r="DV20" s="54" t="str">
        <f>IF(E20="MS", Data!$AK$1, Data!$EJ$2)</f>
        <v>Special_Window</v>
      </c>
      <c r="DW20" s="65" t="str">
        <f>IF(OR(AND(S20="",P20&lt;&gt;"")),VLOOKUP(P20,Data!$FC$2:$FD$18,2,FALSE),"")</f>
        <v/>
      </c>
      <c r="DX20" s="65" t="str">
        <f>IF(OR(AND(T20="",P20&lt;&gt;"")),VLOOKUP(P20,Data!$FC$2:$FD$18,2,FALSE),"")</f>
        <v/>
      </c>
      <c r="DY20" s="65" t="str">
        <f>IF(OR(AND(U20="",P20&lt;&gt;"")),VLOOKUP(P20,Data!$FC$2:$FD$18,2,FALSE),"")</f>
        <v/>
      </c>
      <c r="DZ20" s="157" t="e">
        <f>VLOOKUP(N20,Data!$MK$2:$ML$8,2,FALSE)</f>
        <v>#N/A</v>
      </c>
      <c r="EA20" s="65" t="e">
        <f>VLOOKUP(O20,Data!$DO$4:$DO$157,1,FALSE)</f>
        <v>#N/A</v>
      </c>
      <c r="EB20" s="65" t="e">
        <f t="shared" si="42"/>
        <v>#N/A</v>
      </c>
      <c r="EC20" s="54" t="str">
        <f t="shared" si="43"/>
        <v/>
      </c>
      <c r="ED20" s="157" t="str">
        <f t="shared" si="44"/>
        <v>OK</v>
      </c>
      <c r="EE20" s="169" t="b">
        <f>IF(P20=Data!$NN$3,Data!$NO$2, IF(P20=Data!$NN$4,Data!$NP$2, IF(P20=Data!$NN$5,Data!$NQ$2, IF(P20=Data!$NN$6,Data!$NR$2, IF(P20=Data!$NN$7,Data!$NS$2, IF(P20=Data!$NN$8,Data!$NT$2, IF(P20=Data!$NN$9,Data!$NU$2, IF(P20=Data!$NN$10,Data!$NV$2, IF(P20=Data!$NN$11,Data!$NW$2, IF(P20=Data!$NN$12,Data!$NX$2, IF(P20=Data!$NN$13,Data!$NY$2, IF(P20=Data!$NN$14,Data!$NZ$2, IF(P20=Data!$NN$15,Data!$OA$2, IF(P20=Data!$NN$16,Data!$OB$2, IF(P20=Data!$NN$17,Data!$OC$2, IF(P20=Data!$NN$18,Data!$OD$2, IF(P20=Data!$NN$19,Data!$OE$2, IF(P20=Data!$NN$20,Data!$OG$2))))))))))))))))))</f>
        <v>0</v>
      </c>
      <c r="EF20" s="169" t="b">
        <f>IF(P20=Data!$NN$3,Data!$NO$15,IF(P20=Data!$NN$4,Data!$NP$15,IF(P20=Data!$NN$5,Data!$NQ$15,IF(P20=Data!$NN$6,Data!$NR$15,IF(P20=Data!$NN$7,Data!$NS$15,IF(P20=Data!$NN$8,Data!$NT$15,IF(P20=Data!$NN$9,Data!$NU$15,IF(P20=Data!$NN$10,Data!$NV$15,IF(P20=Data!$NN$11,Data!$NW$15,IF(P20=Data!$NN$12,Data!$NX$15,IF(P20=Data!$NN$13,Data!$NY$15,IF(P20=Data!$NN$14,Data!$NZ$15,IF(N20=Data!$NN$22,Data!$OA$15,IF(N20=Data!$NN$23,Data!$OB$15,IF(P20=Data!$NN$19,Data!$OC$15, IF(P20=Data!$NN$20,Data!$OG$15))))))))))))))))</f>
        <v>0</v>
      </c>
      <c r="EG20" s="330" t="e">
        <f>MATCH(G20, Data!$CW$10:$CW$14,0)</f>
        <v>#N/A</v>
      </c>
      <c r="EH20" s="169" t="e">
        <f>MATCH(J20,Data!$CX$9:$DA$9,0)</f>
        <v>#N/A</v>
      </c>
      <c r="EI20" s="334" t="e">
        <f>INDEX(Data!$CX$10:$DA$14,Shutters!EG20,Shutters!EH20)</f>
        <v>#N/A</v>
      </c>
      <c r="EJ20" s="169" t="str">
        <f>IF(SUM(--ISNUMBER(SEARCH({"combo","Combo","COMBO"}, B37))),"Yes","No")</f>
        <v>No</v>
      </c>
      <c r="EK20" s="169" t="str">
        <f>IF(SUM(--ISNUMBER(SEARCH({"combo","Combo","COMBO"}, F37))),"Yes","No")</f>
        <v>No</v>
      </c>
      <c r="EL20" s="169" t="str">
        <f t="shared" si="45"/>
        <v>No</v>
      </c>
      <c r="EM20" s="157">
        <f t="shared" si="46"/>
        <v>1</v>
      </c>
      <c r="EN20" s="157" t="e">
        <f t="shared" si="47"/>
        <v>#DIV/0!</v>
      </c>
      <c r="EO20" s="169" t="str">
        <f t="shared" si="48"/>
        <v/>
      </c>
      <c r="EP20" s="330" t="str">
        <f t="shared" si="49"/>
        <v/>
      </c>
      <c r="EQ20" s="330" t="str">
        <f t="shared" si="50"/>
        <v/>
      </c>
      <c r="ER20" s="169" t="str">
        <f t="shared" si="51"/>
        <v/>
      </c>
      <c r="ES20" s="169" t="str">
        <f t="shared" si="52"/>
        <v/>
      </c>
      <c r="ET20" s="169" t="str">
        <f t="shared" si="53"/>
        <v/>
      </c>
      <c r="EU20" s="264" t="str">
        <f t="shared" si="54"/>
        <v>No</v>
      </c>
      <c r="EV20" s="330" t="e">
        <f>MATCH(G20,Data!$FH$18:$FL$18,0)</f>
        <v>#N/A</v>
      </c>
      <c r="EW20" s="169" t="e">
        <f>MATCH(N20,Data!$FG$19:$FG$25,0)</f>
        <v>#N/A</v>
      </c>
      <c r="EX20" s="330" t="e">
        <f>INDEX(Data!$FH$19:$FL$25,Shutters!EW20,Shutters!EV20)</f>
        <v>#N/A</v>
      </c>
    </row>
    <row r="21" spans="1:154" ht="36.75" customHeight="1">
      <c r="A21" s="52">
        <v>13</v>
      </c>
      <c r="B21" s="17"/>
      <c r="C21" s="14"/>
      <c r="D21" s="14"/>
      <c r="E21" s="14"/>
      <c r="F21" s="10"/>
      <c r="G21" s="13"/>
      <c r="H21" s="689"/>
      <c r="I21" s="763"/>
      <c r="J21" s="14"/>
      <c r="K21" s="144" t="str">
        <f t="shared" si="11"/>
        <v/>
      </c>
      <c r="L21" s="15"/>
      <c r="M21" s="15"/>
      <c r="N21" s="15"/>
      <c r="O21" s="15"/>
      <c r="P21" s="527"/>
      <c r="Q21" s="527"/>
      <c r="R21" s="13"/>
      <c r="S21" s="13"/>
      <c r="T21" s="13"/>
      <c r="U21" s="13"/>
      <c r="V21" s="15"/>
      <c r="W21" s="15"/>
      <c r="X21" s="16"/>
      <c r="Y21" s="16"/>
      <c r="Z21" s="14"/>
      <c r="AA21" s="14"/>
      <c r="AB21" s="14"/>
      <c r="AC21" s="18"/>
      <c r="AD21" s="164" t="str">
        <f>IF(SUM(D21)=0,"",IF(E21="MS",SUM(((C21*D21)/1000000)*F21),SUM(((C21*D21)/1000000))))</f>
        <v/>
      </c>
      <c r="AE21" s="229"/>
      <c r="AF21" s="230"/>
      <c r="AU21" s="108" t="str">
        <f t="shared" si="12"/>
        <v/>
      </c>
      <c r="AV21" s="65" t="e">
        <f t="shared" si="13"/>
        <v>#N/A</v>
      </c>
      <c r="AW21" s="169" t="e">
        <f>VLOOKUP(P21,Data!$MI$2:$MJ$4,2,FALSE)</f>
        <v>#N/A</v>
      </c>
      <c r="AX21" s="169" t="e">
        <f>IF(OR(AND(E21="IN",AW21="Yes")), "Yes","No")</f>
        <v>#N/A</v>
      </c>
      <c r="AY21" s="169" t="e">
        <f>VLOOKUP(N21,Data!$BI$24:$BJ$30,2,FALSE)</f>
        <v>#N/A</v>
      </c>
      <c r="AZ21" s="155" t="b">
        <f>IF(G21=Data!$BO$2,Data!$BS$2, IF(Shutters!G21=Data!$BP$2,Data!$BT$2, IF(Shutters!G21=Data!$BQ$2,Data!$BU$2)))</f>
        <v>0</v>
      </c>
      <c r="BA21" s="340" t="str">
        <f t="shared" si="15"/>
        <v>No</v>
      </c>
      <c r="BB21" s="155" t="e">
        <f>IF(E21="MS",C21*1,C21/F21)</f>
        <v>#DIV/0!</v>
      </c>
      <c r="BC21" s="340" t="e">
        <f t="shared" si="17"/>
        <v>#DIV/0!</v>
      </c>
      <c r="BD21" s="155" t="e">
        <f>IF(OR(AND(BB21&gt;650,G21="Fauxwood",E21="MS"),AND(BB21&gt;700,G21="Fauxwood",E21="IN"),AND(BB21&gt;700,G21="Fauxwood",E21="OUT")), "Yes","No")</f>
        <v>#DIV/0!</v>
      </c>
      <c r="BE21" s="340" t="str">
        <f t="shared" si="18"/>
        <v>No</v>
      </c>
      <c r="BF21" s="155" t="str">
        <f t="shared" si="19"/>
        <v>NotRequired</v>
      </c>
      <c r="BG21" s="155" t="b">
        <f>IF(G21=Data!$BO$2,Data!$CM$2, IF(Shutters!G21=Data!$BP$2,Data!$CN$2, IF(Shutters!G21=Data!$BQ$2,Data!$CO$2)))</f>
        <v>0</v>
      </c>
      <c r="BH21" s="155" t="e">
        <f t="shared" si="20"/>
        <v>#DIV/0!</v>
      </c>
      <c r="BI21" s="156" t="str">
        <f t="shared" si="2"/>
        <v>NoHighlight</v>
      </c>
      <c r="BJ21" s="340" t="str">
        <f t="shared" si="21"/>
        <v>FauxwoodRPNo</v>
      </c>
      <c r="BK21" s="156" t="str">
        <f>IF(SUM(--ISNUMBER( SEARCH({"t","T"},O21))),"Yes","No")</f>
        <v>No</v>
      </c>
      <c r="BL21" s="156" t="str">
        <f t="shared" si="22"/>
        <v>OK</v>
      </c>
      <c r="BM21" s="156" t="str">
        <f t="shared" si="23"/>
        <v>OK</v>
      </c>
      <c r="BN21" s="156" t="str">
        <f t="shared" si="24"/>
        <v>OK</v>
      </c>
      <c r="BO21" s="156" t="e">
        <f>IF(OR(AND(F21&gt;1,#REF!="L",#REF!="l"),AND(F21&gt;1,#REF!="R",#REF!="r"),AND(F21&gt;2,#REF!="LR",#REF!="lr")), "Error","OK")</f>
        <v>#REF!</v>
      </c>
      <c r="BP21" s="156" t="str">
        <f t="shared" si="3"/>
        <v>FauxwoodAINo</v>
      </c>
      <c r="BQ21" s="156" t="str">
        <f>IF(SUM(--ISNUMBER(SEARCH({"combo","Combo","COMBO"}, B38))),"Yes","No")</f>
        <v>No</v>
      </c>
      <c r="BR21" s="156" t="str">
        <f t="shared" si="25"/>
        <v>No</v>
      </c>
      <c r="BS21" s="156" t="str">
        <f>IF(SUM(--ISNUMBER( SEARCH({"c","C","b","B"},#REF!))),"Yes","No")</f>
        <v>No</v>
      </c>
      <c r="BT21" s="157">
        <f>IF(D21="",0,IF(N21="Fixed","N/A",IF(N21="Sliding","N/A",IF(N21="Track Bi Fold","N/A",IF(N21="Pivot Hinged","N/A",IF(D21&lt;741,2,IF(D21&lt;1321,3,IF(D21&lt;1906,4,5)))*IF(F21&gt;0,F21,1))))))</f>
        <v>0</v>
      </c>
      <c r="BU21" s="169" t="str">
        <f>IF(N21=Data!$BI$3,Data!$DR$3,IF(N21=Data!$BI$4,Data!$DS$3,IF(N21=Data!$BI$5,Data!$DT$3,IF(N21=Data!$BI$6,Data!$DU$3,IF(N21=Data!$BI$7,Data!$DV$3, IF(N21=Data!$BI$8,Data!$DX$3, IF(N21=Data!$BI$9,Data!$DW$3, "")))))))</f>
        <v/>
      </c>
      <c r="BV21" s="169" t="str">
        <f>IF(N21=Data!$BI$3,Data!$DY$3,IF(N21=Data!$BI$4,Data!$DZ$3,IF(N21=Data!$BI$5,Data!$EA$3,IF(N21=Data!$BI$6,Data!$EB$3,IF(N21=Data!$BI$7,Data!$EC$3,IF(N21=Data!$BI$8,Data!$EE$3, IF(N21=Data!$BI$9,Data!$ED$3,"")))))))</f>
        <v/>
      </c>
      <c r="BW21" s="157">
        <f>IF(D21="",0,IF(N21="Fixed","N/A",IF(N21="Sliding","N/A",IF(N21="Track Bi Fold","N/A",IF(N21="Pivot Hinged","N/A",IF(D21&lt;1220,2,IF(D21&lt;1981,3,IF(D21&lt;2438,4,5)))*IF(F21&gt;0,F21,1))))))</f>
        <v>0</v>
      </c>
      <c r="BX21" s="157">
        <f>IF(N21="Double Hinged",F21,0)</f>
        <v>0</v>
      </c>
      <c r="BY21" s="169" t="e">
        <f>IF(C21/F21&gt;650,F21,0)</f>
        <v>#DIV/0!</v>
      </c>
      <c r="BZ21" s="330" t="b">
        <f>IF(G21=Data!$EU$2,Data!$ES$2,IF(G21=Data!$EU$3,Data!$ER$2, IF(G21=Data!$EU$5,Data!$ET$2, IF(G21=Data!$EU$4,Data!$EQ$2,IF(G21=Data!$EU$6,Data!$ER$2)))))</f>
        <v>0</v>
      </c>
      <c r="CA21" s="330" t="b">
        <f>IF(G21=Data!$EU$2,Data!$EW$2,IF(G21=Data!$EU$3,Data!$EX$2,IF(G21=Data!$EU$4,Data!$EY$2, IF(G21=Data!$EU$5,Data!$EY$2,IF(G21=Data!$EU$6,Data!$EX$2)))))</f>
        <v>0</v>
      </c>
      <c r="CB21" s="169" t="e">
        <f>VLOOKUP(M21,Data!$EJ$3:$EK$14,2,FALSE)</f>
        <v>#N/A</v>
      </c>
      <c r="CC21" s="169" t="str">
        <f>IF(J21="114mm",VLOOKUP(H21,Data!$FA$2:$FB$18,2,FALSE),"OK")</f>
        <v>OK</v>
      </c>
      <c r="CD21" s="169" t="e">
        <f t="shared" si="7"/>
        <v>#DIV/0!</v>
      </c>
      <c r="CE21" s="169" t="str">
        <f>IF(OR(AND(R21="",P21&lt;&gt;"")),VLOOKUP(P21,Data!$FC$2:$FD$18,2,FALSE),"")</f>
        <v/>
      </c>
      <c r="CF21" s="169" t="str">
        <f>IF(N21=Data!$BI$3,Data!$FJ$1,IF(N21=Data!$BI$4,Data!$FK$1,IF(N21=Data!$BI$5,Data!$FL$1,IF(N21=Data!$BI$6,Data!$FM$1,IF(N21=Data!$BI$7,Data!$FN$1, IF(N21=Data!$BI$8,Data!$FO$1, IF(N21=Data!$BI$9,Data!$FI$1, "")))))))</f>
        <v/>
      </c>
      <c r="CG21" s="169" t="str">
        <f>IF(SUM(--ISNUMBER(SEARCH({"z","Z"}, P21))),"Yes","No")</f>
        <v>No</v>
      </c>
      <c r="CH21" s="169" t="str">
        <f>IF(OR(AND(E21="OUT",CG21="Yes")), "Error","OK")</f>
        <v>OK</v>
      </c>
      <c r="CI21" s="169">
        <f t="shared" si="27"/>
        <v>0</v>
      </c>
      <c r="CJ21" s="169" t="e">
        <f>VLOOKUP(O21,Data!$DO$4:$DP$156,2,FALSE)</f>
        <v>#N/A</v>
      </c>
      <c r="CK21" s="169" t="e">
        <f>IF(F21&lt;&gt;CJ21,"Failed","Passed")</f>
        <v>#N/A</v>
      </c>
      <c r="CL21" s="157"/>
      <c r="CM21" s="157"/>
      <c r="CN21" s="157"/>
      <c r="CO21" s="344" t="str">
        <f t="shared" si="28"/>
        <v>OK</v>
      </c>
      <c r="CP21" s="169" t="b">
        <f t="shared" si="29"/>
        <v>0</v>
      </c>
      <c r="CQ21" s="169">
        <f>IF(E21="IN",1,IF(E21="OUT",1,0))</f>
        <v>0</v>
      </c>
      <c r="CR21" s="169">
        <f t="shared" ref="CR21:CR22" si="55">IF(P21="No Frame",0,IF(P21="Hanging Strip",0,1))</f>
        <v>1</v>
      </c>
      <c r="CS21" s="169">
        <f t="shared" ref="CS21:CS22" si="56">CP21*CQ21*CR21</f>
        <v>0</v>
      </c>
      <c r="CT21" s="157" t="e">
        <f t="shared" si="33"/>
        <v>#DIV/0!</v>
      </c>
      <c r="CU21" s="169" t="b">
        <f>IF(H21=Data!$BD$3,Data!$HC$2,IF(H21=Data!$BD$4,Data!$HM$2,IF(H21=Data!$BD$5,Data!$HF$2,IF(H21=Data!$BD$6,Data!$HB$2,IF(H21=Data!$BD$7,Data!$HD$2,IF(H21=Data!$BD$8,Data!$HJ$2,IF(H21=Data!$BD$9,Data!$HN$2,IF(H21=Data!$BD$10,Data!$HA$2,IF(H21=Data!$BD$11,Data!$HI$2)))))))))</f>
        <v>0</v>
      </c>
      <c r="CV21" s="276" t="b">
        <f>IF(H21=Data!$BE$3,Data!$HQ$2, IF(H21=Data!$BE$4,Data!$HP$2, IF(H21=Data!$BE$5,Data!$HR$2, IF(H21=Data!$BE$6,Data!$HO$2))))</f>
        <v>0</v>
      </c>
      <c r="CW21" s="330" t="b">
        <f>IF(H21=Data!$BH$3,Data!$HU$2, IF(H21=Data!$BH$4,Data!$HT$2, IF(H21=Data!$BH$5,Data!$HS$2)))</f>
        <v>0</v>
      </c>
      <c r="CX21" s="330" t="b">
        <f>IF(H21=Data!$BF$3,Data!$HQ$16, IF(H21=Data!$BF$4,Data!$HP$16, IF(H21=Data!$BF$5,Data!$HR$16, IF(H21=Data!$BF$6,Data!$HO$16))))</f>
        <v>0</v>
      </c>
      <c r="CY21" s="330" t="b">
        <f>IF(G21=Data!$BC$3,Shutters!CU21,IF(G21=Data!$BC$4,Shutters!CV21,IF(G21=Data!$BC$6,Shutters!CW21, IF(G21=Data!$BC$5, Shutters!CX21,IF(G21=Data!$BC$7,Shutters!CV21)))))</f>
        <v>0</v>
      </c>
      <c r="CZ21" s="157" t="e">
        <f>IF(OR(AND(L21&gt;0,#REF!="")), "Error","OK")</f>
        <v>#REF!</v>
      </c>
      <c r="DA21" s="169" t="e">
        <f>IF(COUNTIF(#REF!,Data!$CX$6),"Yes","")</f>
        <v>#REF!</v>
      </c>
      <c r="DB21" s="54" t="str">
        <f t="shared" si="34"/>
        <v/>
      </c>
      <c r="DE21" s="54" t="str">
        <f>IF(N21=Data!$BI$5,"Yes",IF(N21=Data!$BI$6,"Yes","No"))</f>
        <v>No</v>
      </c>
      <c r="DF21" s="65" t="b">
        <f>IF(N21=Data!$BI$3,Data!$JB$2,IF(N21=Data!$BI$4,Data!$JC$2,IF(N21=Data!$BI$5,Data!$JD$2,IF(N21=Data!$BI$6,Data!$JE$2,IF(N21=Data!$BI$7,Data!$JF$2, IF(N21=Data!$BI$8,Data!$JA$2, IF(N21=Data!$BI$9,Data!$JG$2)))))))</f>
        <v>0</v>
      </c>
      <c r="DI21" s="65" t="e">
        <f>VLOOKUP(O21,Data!$DO$4:$DQ$156,3,FALSE)</f>
        <v>#N/A</v>
      </c>
      <c r="DJ21" s="54" t="e">
        <f t="shared" si="10"/>
        <v>#N/A</v>
      </c>
      <c r="DK21" s="54" t="e">
        <f t="shared" si="35"/>
        <v>#N/A</v>
      </c>
      <c r="DL21" s="54" t="b">
        <f>IF(P21=Data!$BK$3,Data!$JH$2,IF(P21=Data!$BK$4,Data!$JI$2,IF(P21=Data!$BK$5,Data!$JJ$2,IF(P21=Data!$BK$6,Data!$JK$2,IF(P21=Data!$BK$7,Data!$JL$2,IF(P21=Data!$BK$8,Data!$JM$2,IF(P21=Data!$BK$9,Data!$JN$2,IF(P21=Data!$BK$10,Data!$JO$2,IF(P21=Data!$BK$11,Data!$JP$2,IF(P21=Data!$BK$12,Data!$JQ$2,IF(P21=Data!$BK$13,Data!$JR$2,IF(P21=Data!$BK$14,Data!$JS$2,IF(P21=Data!$BK$15,Data!$JT$2,IF(P21=Data!$BK$16,Data!$JU$2,IF(P21=Data!$BK$17,Data!$JV$2,IF(P21=Data!$BK$18,Data!$JW$2, IF(P21=Data!$BK$19,Data!$JX$2, IF(P21=Data!$BK$20,Data!$JY$2))))))))))))))))))</f>
        <v>0</v>
      </c>
      <c r="DN21" s="169" t="str">
        <f t="shared" si="36"/>
        <v/>
      </c>
      <c r="DO21" s="169" t="e">
        <f t="shared" si="37"/>
        <v>#N/A</v>
      </c>
      <c r="DP21" s="169" t="str">
        <f t="shared" si="38"/>
        <v>OK</v>
      </c>
      <c r="DQ21" s="169" t="str">
        <f t="shared" si="39"/>
        <v>OK</v>
      </c>
      <c r="DR21" s="169" t="str">
        <f t="shared" si="40"/>
        <v>OK</v>
      </c>
      <c r="DS21" s="169" t="str">
        <f t="shared" si="41"/>
        <v>OK</v>
      </c>
      <c r="DT21" s="65" t="b">
        <f>IF(N21=Data!$LW$2,Data!$LX$1,IF(N21=Data!$LW$3,Data!$LY$1,IF(N21=Data!$LW$4,Data!$LZ$1,IF(N21=Data!$LW$5,Data!$MA$1,IF(N21=Data!$LW$6,Data!$MB$1,IF(N21=Data!$LW$7,Data!$MC$1, IF(N21=Data!$LW$8,Data!$MX$1)))))))</f>
        <v>0</v>
      </c>
      <c r="DU21" s="65" t="b">
        <f>IF(E21=Data!$MD$2,Data!$ME$2, IF(E21=Data!$MD$3,Data!$MF$2, IF(E21=Data!$MD$4,Data!$MG$2)))</f>
        <v>0</v>
      </c>
      <c r="DV21" s="54" t="str">
        <f>IF(E21="MS", Data!$AK$1, Data!$EJ$2)</f>
        <v>Special_Window</v>
      </c>
      <c r="DW21" s="65" t="str">
        <f>IF(OR(AND(S21="",P21&lt;&gt;"")),VLOOKUP(P21,Data!$FC$2:$FD$18,2,FALSE),"")</f>
        <v/>
      </c>
      <c r="DX21" s="65" t="str">
        <f>IF(OR(AND(T21="",P21&lt;&gt;"")),VLOOKUP(P21,Data!$FC$2:$FD$18,2,FALSE),"")</f>
        <v/>
      </c>
      <c r="DY21" s="65" t="str">
        <f>IF(OR(AND(U21="",P21&lt;&gt;"")),VLOOKUP(P21,Data!$FC$2:$FD$18,2,FALSE),"")</f>
        <v/>
      </c>
      <c r="DZ21" s="157" t="e">
        <f>VLOOKUP(N21,Data!$MK$2:$ML$8,2,FALSE)</f>
        <v>#N/A</v>
      </c>
      <c r="EA21" s="65" t="e">
        <f>VLOOKUP(O21,Data!$DO$4:$DO$157,1,FALSE)</f>
        <v>#N/A</v>
      </c>
      <c r="EB21" s="65" t="e">
        <f t="shared" si="42"/>
        <v>#N/A</v>
      </c>
      <c r="EC21" s="54" t="str">
        <f t="shared" si="43"/>
        <v/>
      </c>
      <c r="ED21" s="157" t="str">
        <f t="shared" si="44"/>
        <v>OK</v>
      </c>
      <c r="EE21" s="169" t="b">
        <f>IF(P21=Data!$NN$3,Data!$NO$2, IF(P21=Data!$NN$4,Data!$NP$2, IF(P21=Data!$NN$5,Data!$NQ$2, IF(P21=Data!$NN$6,Data!$NR$2, IF(P21=Data!$NN$7,Data!$NS$2, IF(P21=Data!$NN$8,Data!$NT$2, IF(P21=Data!$NN$9,Data!$NU$2, IF(P21=Data!$NN$10,Data!$NV$2, IF(P21=Data!$NN$11,Data!$NW$2, IF(P21=Data!$NN$12,Data!$NX$2, IF(P21=Data!$NN$13,Data!$NY$2, IF(P21=Data!$NN$14,Data!$NZ$2, IF(P21=Data!$NN$15,Data!$OA$2, IF(P21=Data!$NN$16,Data!$OB$2, IF(P21=Data!$NN$17,Data!$OC$2, IF(P21=Data!$NN$18,Data!$OD$2, IF(P21=Data!$NN$19,Data!$OE$2, IF(P21=Data!$NN$20,Data!$OG$2))))))))))))))))))</f>
        <v>0</v>
      </c>
      <c r="EF21" s="169" t="b">
        <f>IF(P21=Data!$NN$3,Data!$NO$15,IF(P21=Data!$NN$4,Data!$NP$15,IF(P21=Data!$NN$5,Data!$NQ$15,IF(P21=Data!$NN$6,Data!$NR$15,IF(P21=Data!$NN$7,Data!$NS$15,IF(P21=Data!$NN$8,Data!$NT$15,IF(P21=Data!$NN$9,Data!$NU$15,IF(P21=Data!$NN$10,Data!$NV$15,IF(P21=Data!$NN$11,Data!$NW$15,IF(P21=Data!$NN$12,Data!$NX$15,IF(P21=Data!$NN$13,Data!$NY$15,IF(P21=Data!$NN$14,Data!$NZ$15,IF(N21=Data!$NN$22,Data!$OA$15,IF(N21=Data!$NN$23,Data!$OB$15,IF(P21=Data!$NN$19,Data!$OC$15, IF(P21=Data!$NN$20,Data!$OG$15))))))))))))))))</f>
        <v>0</v>
      </c>
      <c r="EG21" s="330" t="e">
        <f>MATCH(G21, Data!$CW$10:$CW$14,0)</f>
        <v>#N/A</v>
      </c>
      <c r="EH21" s="169" t="e">
        <f>MATCH(J21,Data!$CX$9:$DA$9,0)</f>
        <v>#N/A</v>
      </c>
      <c r="EI21" s="334" t="e">
        <f>INDEX(Data!$CX$10:$DA$14,Shutters!EG21,Shutters!EH21)</f>
        <v>#N/A</v>
      </c>
      <c r="EJ21" s="169" t="str">
        <f>IF(SUM(--ISNUMBER(SEARCH({"combo","Combo","COMBO"}, B38))),"Yes","No")</f>
        <v>No</v>
      </c>
      <c r="EK21" s="169" t="str">
        <f>IF(SUM(--ISNUMBER(SEARCH({"combo","Combo","COMBO"}, F38))),"Yes","No")</f>
        <v>No</v>
      </c>
      <c r="EL21" s="169" t="str">
        <f t="shared" si="45"/>
        <v>No</v>
      </c>
      <c r="EM21" s="157">
        <f t="shared" si="46"/>
        <v>1</v>
      </c>
      <c r="EN21" s="157" t="e">
        <f t="shared" si="47"/>
        <v>#DIV/0!</v>
      </c>
      <c r="EO21" s="169" t="str">
        <f t="shared" si="48"/>
        <v/>
      </c>
      <c r="EP21" s="330" t="str">
        <f t="shared" si="49"/>
        <v/>
      </c>
      <c r="EQ21" s="330" t="str">
        <f t="shared" si="50"/>
        <v/>
      </c>
      <c r="ER21" s="169" t="str">
        <f t="shared" si="51"/>
        <v/>
      </c>
      <c r="ES21" s="169" t="str">
        <f t="shared" si="52"/>
        <v/>
      </c>
      <c r="ET21" s="169" t="str">
        <f t="shared" si="53"/>
        <v/>
      </c>
      <c r="EU21" s="264" t="str">
        <f t="shared" si="54"/>
        <v>No</v>
      </c>
      <c r="EV21" s="330" t="e">
        <f>MATCH(G21,Data!$FH$18:$FL$18,0)</f>
        <v>#N/A</v>
      </c>
      <c r="EW21" s="169" t="e">
        <f>MATCH(N21,Data!$FG$19:$FG$25,0)</f>
        <v>#N/A</v>
      </c>
      <c r="EX21" s="330" t="e">
        <f>INDEX(Data!$FH$19:$FL$25,Shutters!EW21,Shutters!EV21)</f>
        <v>#N/A</v>
      </c>
    </row>
    <row r="22" spans="1:154" ht="36.75" customHeight="1">
      <c r="A22" s="52">
        <v>14</v>
      </c>
      <c r="B22" s="17"/>
      <c r="C22" s="14"/>
      <c r="D22" s="14"/>
      <c r="E22" s="14"/>
      <c r="F22" s="10"/>
      <c r="G22" s="13"/>
      <c r="H22" s="689"/>
      <c r="I22" s="763"/>
      <c r="J22" s="14"/>
      <c r="K22" s="144" t="str">
        <f t="shared" si="11"/>
        <v/>
      </c>
      <c r="L22" s="15"/>
      <c r="M22" s="15"/>
      <c r="N22" s="15"/>
      <c r="O22" s="15"/>
      <c r="P22" s="527"/>
      <c r="Q22" s="527"/>
      <c r="R22" s="13"/>
      <c r="S22" s="13"/>
      <c r="T22" s="13"/>
      <c r="U22" s="13"/>
      <c r="V22" s="15"/>
      <c r="W22" s="15"/>
      <c r="X22" s="16"/>
      <c r="Y22" s="16"/>
      <c r="Z22" s="14"/>
      <c r="AA22" s="14"/>
      <c r="AB22" s="14"/>
      <c r="AC22" s="18"/>
      <c r="AD22" s="164" t="str">
        <f>IF(SUM(D22)=0,"",IF(E22="MS",SUM(((C22*D22)/1000000)*F22),SUM(((C22*D22)/1000000))))</f>
        <v/>
      </c>
      <c r="AE22" s="229"/>
      <c r="AF22" s="230"/>
      <c r="AU22" s="108" t="str">
        <f t="shared" si="12"/>
        <v/>
      </c>
      <c r="AV22" s="65" t="e">
        <f t="shared" si="13"/>
        <v>#N/A</v>
      </c>
      <c r="AW22" s="169" t="e">
        <f>VLOOKUP(P22,Data!$MI$2:$MJ$4,2,FALSE)</f>
        <v>#N/A</v>
      </c>
      <c r="AX22" s="169" t="e">
        <f t="shared" si="14"/>
        <v>#N/A</v>
      </c>
      <c r="AY22" s="169" t="e">
        <f>VLOOKUP(N22,Data!$BI$24:$BJ$30,2,FALSE)</f>
        <v>#N/A</v>
      </c>
      <c r="AZ22" s="155" t="b">
        <f>IF(G22=Data!$BO$2,Data!$BS$2, IF(Shutters!G22=Data!$BP$2,Data!$BT$2, IF(Shutters!G22=Data!$BQ$2,Data!$BU$2)))</f>
        <v>0</v>
      </c>
      <c r="BA22" s="340" t="str">
        <f t="shared" si="15"/>
        <v>No</v>
      </c>
      <c r="BB22" s="155" t="e">
        <f t="shared" si="16"/>
        <v>#DIV/0!</v>
      </c>
      <c r="BC22" s="340" t="e">
        <f t="shared" si="17"/>
        <v>#DIV/0!</v>
      </c>
      <c r="BD22" s="155" t="e">
        <f t="shared" si="1"/>
        <v>#DIV/0!</v>
      </c>
      <c r="BE22" s="340" t="str">
        <f t="shared" si="18"/>
        <v>No</v>
      </c>
      <c r="BF22" s="155" t="str">
        <f t="shared" si="19"/>
        <v>NotRequired</v>
      </c>
      <c r="BG22" s="155" t="b">
        <f>IF(G22=Data!$BO$2,Data!$CM$2, IF(Shutters!G22=Data!$BP$2,Data!$CN$2, IF(Shutters!G22=Data!$BQ$2,Data!$CO$2)))</f>
        <v>0</v>
      </c>
      <c r="BH22" s="155" t="e">
        <f t="shared" si="20"/>
        <v>#DIV/0!</v>
      </c>
      <c r="BI22" s="156" t="str">
        <f t="shared" si="2"/>
        <v>NoHighlight</v>
      </c>
      <c r="BJ22" s="340" t="str">
        <f t="shared" si="21"/>
        <v>FauxwoodRPNo</v>
      </c>
      <c r="BK22" s="156" t="str">
        <f>IF(SUM(--ISNUMBER( SEARCH({"t","T"},O22))),"Yes","No")</f>
        <v>No</v>
      </c>
      <c r="BL22" s="156" t="str">
        <f t="shared" si="22"/>
        <v>OK</v>
      </c>
      <c r="BM22" s="156" t="str">
        <f t="shared" si="23"/>
        <v>OK</v>
      </c>
      <c r="BN22" s="156" t="str">
        <f t="shared" si="24"/>
        <v>OK</v>
      </c>
      <c r="BO22" s="156" t="e">
        <f>IF(OR(AND(F22&gt;1,#REF!="L",#REF!="l"),AND(F22&gt;1,#REF!="R",#REF!="r"),AND(F22&gt;2,#REF!="LR",#REF!="lr")), "Error","OK")</f>
        <v>#REF!</v>
      </c>
      <c r="BP22" s="156" t="str">
        <f t="shared" si="3"/>
        <v>FauxwoodAINo</v>
      </c>
      <c r="BQ22" s="156" t="str">
        <f>IF(SUM(--ISNUMBER(SEARCH({"combo","Combo","COMBO"}, B39))),"Yes","No")</f>
        <v>No</v>
      </c>
      <c r="BR22" s="156" t="str">
        <f t="shared" si="25"/>
        <v>No</v>
      </c>
      <c r="BS22" s="156" t="str">
        <f>IF(SUM(--ISNUMBER( SEARCH({"c","C","b","B"},#REF!))),"Yes","No")</f>
        <v>No</v>
      </c>
      <c r="BT22" s="157">
        <f t="shared" si="4"/>
        <v>0</v>
      </c>
      <c r="BU22" s="169" t="str">
        <f>IF(N22=Data!$BI$3,Data!$DR$3,IF(N22=Data!$BI$4,Data!$DS$3,IF(N22=Data!$BI$5,Data!$DT$3,IF(N22=Data!$BI$6,Data!$DU$3,IF(N22=Data!$BI$7,Data!$DV$3, IF(N22=Data!$BI$8,Data!$DX$3, IF(N22=Data!$BI$9,Data!$DW$3, "")))))))</f>
        <v/>
      </c>
      <c r="BV22" s="169" t="str">
        <f>IF(N22=Data!$BI$3,Data!$DY$3,IF(N22=Data!$BI$4,Data!$DZ$3,IF(N22=Data!$BI$5,Data!$EA$3,IF(N22=Data!$BI$6,Data!$EB$3,IF(N22=Data!$BI$7,Data!$EC$3,IF(N22=Data!$BI$8,Data!$EE$3, IF(N22=Data!$BI$9,Data!$ED$3,"")))))))</f>
        <v/>
      </c>
      <c r="BW22" s="157">
        <f t="shared" si="5"/>
        <v>0</v>
      </c>
      <c r="BX22" s="157">
        <f t="shared" si="6"/>
        <v>0</v>
      </c>
      <c r="BY22" s="169" t="e">
        <f t="shared" si="26"/>
        <v>#DIV/0!</v>
      </c>
      <c r="BZ22" s="330" t="b">
        <f>IF(G22=Data!$EU$2,Data!$ES$2,IF(G22=Data!$EU$3,Data!$ER$2, IF(G22=Data!$EU$5,Data!$ET$2, IF(G22=Data!$EU$4,Data!$EQ$2,IF(G22=Data!$EU$6,Data!$ER$2)))))</f>
        <v>0</v>
      </c>
      <c r="CA22" s="330" t="b">
        <f>IF(G22=Data!$EU$2,Data!$EW$2,IF(G22=Data!$EU$3,Data!$EX$2,IF(G22=Data!$EU$4,Data!$EY$2, IF(G22=Data!$EU$5,Data!$EY$2,IF(G22=Data!$EU$6,Data!$EX$2)))))</f>
        <v>0</v>
      </c>
      <c r="CB22" s="169" t="e">
        <f>VLOOKUP(M22,Data!$EJ$3:$EK$14,2,FALSE)</f>
        <v>#N/A</v>
      </c>
      <c r="CC22" s="169" t="str">
        <f>IF(J22="114mm",VLOOKUP(H22,Data!$FA$2:$FB$18,2,FALSE),"OK")</f>
        <v>OK</v>
      </c>
      <c r="CD22" s="169" t="e">
        <f t="shared" si="7"/>
        <v>#DIV/0!</v>
      </c>
      <c r="CE22" s="169" t="str">
        <f>IF(OR(AND(R22="",P22&lt;&gt;"")),VLOOKUP(P22,Data!$FC$2:$FD$18,2,FALSE),"")</f>
        <v/>
      </c>
      <c r="CF22" s="169" t="str">
        <f>IF(N22=Data!$BI$3,Data!$FJ$1,IF(N22=Data!$BI$4,Data!$FK$1,IF(N22=Data!$BI$5,Data!$FL$1,IF(N22=Data!$BI$6,Data!$FM$1,IF(N22=Data!$BI$7,Data!$FN$1, IF(N22=Data!$BI$8,Data!$FO$1, IF(N22=Data!$BI$9,Data!$FI$1, "")))))))</f>
        <v/>
      </c>
      <c r="CG22" s="169" t="str">
        <f>IF(SUM(--ISNUMBER(SEARCH({"z","Z"}, P22))),"Yes","No")</f>
        <v>No</v>
      </c>
      <c r="CH22" s="169" t="str">
        <f t="shared" si="8"/>
        <v>OK</v>
      </c>
      <c r="CI22" s="169">
        <f t="shared" si="27"/>
        <v>0</v>
      </c>
      <c r="CJ22" s="169" t="e">
        <f>VLOOKUP(O22,Data!$DO$4:$DP$156,2,FALSE)</f>
        <v>#N/A</v>
      </c>
      <c r="CK22" s="169" t="e">
        <f t="shared" si="9"/>
        <v>#N/A</v>
      </c>
      <c r="CL22" s="157"/>
      <c r="CM22" s="157"/>
      <c r="CN22" s="157"/>
      <c r="CO22" s="344" t="str">
        <f t="shared" si="28"/>
        <v>OK</v>
      </c>
      <c r="CP22" s="169" t="b">
        <f t="shared" si="29"/>
        <v>0</v>
      </c>
      <c r="CQ22" s="169">
        <f t="shared" ref="CQ22" si="57">IF(E22="IN",1,IF(E22="OUT",1,0))</f>
        <v>0</v>
      </c>
      <c r="CR22" s="169">
        <f t="shared" si="55"/>
        <v>1</v>
      </c>
      <c r="CS22" s="169">
        <f t="shared" si="56"/>
        <v>0</v>
      </c>
      <c r="CT22" s="157" t="e">
        <f t="shared" si="33"/>
        <v>#DIV/0!</v>
      </c>
      <c r="CU22" s="169" t="b">
        <f>IF(H22=Data!$BD$3,Data!$HC$2,IF(H22=Data!$BD$4,Data!$HM$2,IF(H22=Data!$BD$5,Data!$HF$2,IF(H22=Data!$BD$6,Data!$HB$2,IF(H22=Data!$BD$7,Data!$HD$2,IF(H22=Data!$BD$8,Data!$HJ$2,IF(H22=Data!$BD$9,Data!$HN$2,IF(H22=Data!$BD$10,Data!$HA$2,IF(H22=Data!$BD$11,Data!$HI$2)))))))))</f>
        <v>0</v>
      </c>
      <c r="CV22" s="276" t="b">
        <f>IF(H22=Data!$BE$3,Data!$HQ$2, IF(H22=Data!$BE$4,Data!$HP$2, IF(H22=Data!$BE$5,Data!$HR$2, IF(H22=Data!$BE$6,Data!$HO$2))))</f>
        <v>0</v>
      </c>
      <c r="CW22" s="330" t="b">
        <f>IF(H22=Data!$BH$3,Data!$HU$2, IF(H22=Data!$BH$4,Data!$HT$2, IF(H22=Data!$BH$5,Data!$HS$2)))</f>
        <v>0</v>
      </c>
      <c r="CX22" s="330" t="b">
        <f>IF(H22=Data!$BF$3,Data!$HQ$16, IF(H22=Data!$BF$4,Data!$HP$16, IF(H22=Data!$BF$5,Data!$HR$16, IF(H22=Data!$BF$6,Data!$HO$16))))</f>
        <v>0</v>
      </c>
      <c r="CY22" s="330" t="b">
        <f>IF(G22=Data!$BC$3,Shutters!CU22,IF(G22=Data!$BC$4,Shutters!CV22,IF(G22=Data!$BC$6,Shutters!CW22, IF(G22=Data!$BC$5, Shutters!CX22,IF(G22=Data!$BC$7,Shutters!CV22)))))</f>
        <v>0</v>
      </c>
      <c r="CZ22" s="157" t="e">
        <f>IF(OR(AND(L22&gt;0,#REF!="")), "Error","OK")</f>
        <v>#REF!</v>
      </c>
      <c r="DA22" s="169" t="e">
        <f>IF(COUNTIF(#REF!,Data!$CX$6),"Yes","")</f>
        <v>#REF!</v>
      </c>
      <c r="DB22" s="54" t="str">
        <f t="shared" si="34"/>
        <v/>
      </c>
      <c r="DE22" s="54" t="str">
        <f>IF(N22=Data!$BI$5,"Yes",IF(N22=Data!$BI$6,"Yes","No"))</f>
        <v>No</v>
      </c>
      <c r="DF22" s="65" t="b">
        <f>IF(N22=Data!$BI$3,Data!$JB$2,IF(N22=Data!$BI$4,Data!$JC$2,IF(N22=Data!$BI$5,Data!$JD$2,IF(N22=Data!$BI$6,Data!$JE$2,IF(N22=Data!$BI$7,Data!$JF$2, IF(N22=Data!$BI$8,Data!$JA$2, IF(N22=Data!$BI$9,Data!$JG$2)))))))</f>
        <v>0</v>
      </c>
      <c r="DI22" s="65" t="e">
        <f>VLOOKUP(O22,Data!$DO$4:$DQ$156,3,FALSE)</f>
        <v>#N/A</v>
      </c>
      <c r="DJ22" s="54" t="e">
        <f t="shared" si="10"/>
        <v>#N/A</v>
      </c>
      <c r="DK22" s="54" t="e">
        <f t="shared" si="35"/>
        <v>#N/A</v>
      </c>
      <c r="DL22" s="54" t="b">
        <f>IF(P22=Data!$BK$3,Data!$JH$2,IF(P22=Data!$BK$4,Data!$JI$2,IF(P22=Data!$BK$5,Data!$JJ$2,IF(P22=Data!$BK$6,Data!$JK$2,IF(P22=Data!$BK$7,Data!$JL$2,IF(P22=Data!$BK$8,Data!$JM$2,IF(P22=Data!$BK$9,Data!$JN$2,IF(P22=Data!$BK$10,Data!$JO$2,IF(P22=Data!$BK$11,Data!$JP$2,IF(P22=Data!$BK$12,Data!$JQ$2,IF(P22=Data!$BK$13,Data!$JR$2,IF(P22=Data!$BK$14,Data!$JS$2,IF(P22=Data!$BK$15,Data!$JT$2,IF(P22=Data!$BK$16,Data!$JU$2,IF(P22=Data!$BK$17,Data!$JV$2,IF(P22=Data!$BK$18,Data!$JW$2, IF(P22=Data!$BK$19,Data!$JX$2, IF(P22=Data!$BK$20,Data!$JY$2))))))))))))))))))</f>
        <v>0</v>
      </c>
      <c r="DN22" s="169" t="str">
        <f t="shared" si="36"/>
        <v/>
      </c>
      <c r="DO22" s="169" t="e">
        <f t="shared" si="37"/>
        <v>#N/A</v>
      </c>
      <c r="DP22" s="169" t="str">
        <f t="shared" si="38"/>
        <v>OK</v>
      </c>
      <c r="DQ22" s="169" t="str">
        <f t="shared" si="39"/>
        <v>OK</v>
      </c>
      <c r="DR22" s="169" t="str">
        <f t="shared" si="40"/>
        <v>OK</v>
      </c>
      <c r="DS22" s="169" t="str">
        <f t="shared" si="41"/>
        <v>OK</v>
      </c>
      <c r="DT22" s="65" t="b">
        <f>IF(N22=Data!$LW$2,Data!$LX$1,IF(N22=Data!$LW$3,Data!$LY$1,IF(N22=Data!$LW$4,Data!$LZ$1,IF(N22=Data!$LW$5,Data!$MA$1,IF(N22=Data!$LW$6,Data!$MB$1,IF(N22=Data!$LW$7,Data!$MC$1, IF(N22=Data!$LW$8,Data!$MX$1)))))))</f>
        <v>0</v>
      </c>
      <c r="DU22" s="65" t="b">
        <f>IF(E22=Data!$MD$2,Data!$ME$2, IF(E22=Data!$MD$3,Data!$MF$2, IF(E22=Data!$MD$4,Data!$MG$2)))</f>
        <v>0</v>
      </c>
      <c r="DV22" s="54" t="str">
        <f>IF(E22="MS", Data!$AK$1, Data!$EJ$2)</f>
        <v>Special_Window</v>
      </c>
      <c r="DW22" s="65" t="str">
        <f>IF(OR(AND(S22="",P22&lt;&gt;"")),VLOOKUP(P22,Data!$FC$2:$FD$18,2,FALSE),"")</f>
        <v/>
      </c>
      <c r="DX22" s="65" t="str">
        <f>IF(OR(AND(T22="",P22&lt;&gt;"")),VLOOKUP(P22,Data!$FC$2:$FD$18,2,FALSE),"")</f>
        <v/>
      </c>
      <c r="DY22" s="65" t="str">
        <f>IF(OR(AND(U22="",P22&lt;&gt;"")),VLOOKUP(P22,Data!$FC$2:$FD$18,2,FALSE),"")</f>
        <v/>
      </c>
      <c r="DZ22" s="157" t="e">
        <f>VLOOKUP(N22,Data!$MK$2:$ML$8,2,FALSE)</f>
        <v>#N/A</v>
      </c>
      <c r="EA22" s="65" t="e">
        <f>VLOOKUP(O22,Data!$DO$4:$DO$157,1,FALSE)</f>
        <v>#N/A</v>
      </c>
      <c r="EB22" s="65" t="e">
        <f t="shared" si="42"/>
        <v>#N/A</v>
      </c>
      <c r="EC22" s="54" t="str">
        <f t="shared" si="43"/>
        <v/>
      </c>
      <c r="ED22" s="157" t="str">
        <f t="shared" si="44"/>
        <v>OK</v>
      </c>
      <c r="EE22" s="169" t="b">
        <f>IF(P22=Data!$NN$3,Data!$NO$2, IF(P22=Data!$NN$4,Data!$NP$2, IF(P22=Data!$NN$5,Data!$NQ$2, IF(P22=Data!$NN$6,Data!$NR$2, IF(P22=Data!$NN$7,Data!$NS$2, IF(P22=Data!$NN$8,Data!$NT$2, IF(P22=Data!$NN$9,Data!$NU$2, IF(P22=Data!$NN$10,Data!$NV$2, IF(P22=Data!$NN$11,Data!$NW$2, IF(P22=Data!$NN$12,Data!$NX$2, IF(P22=Data!$NN$13,Data!$NY$2, IF(P22=Data!$NN$14,Data!$NZ$2, IF(P22=Data!$NN$15,Data!$OA$2, IF(P22=Data!$NN$16,Data!$OB$2, IF(P22=Data!$NN$17,Data!$OC$2, IF(P22=Data!$NN$18,Data!$OD$2, IF(P22=Data!$NN$19,Data!$OE$2, IF(P22=Data!$NN$20,Data!$OG$2))))))))))))))))))</f>
        <v>0</v>
      </c>
      <c r="EF22" s="169" t="b">
        <f>IF(P22=Data!$NN$3,Data!$NO$15,IF(P22=Data!$NN$4,Data!$NP$15,IF(P22=Data!$NN$5,Data!$NQ$15,IF(P22=Data!$NN$6,Data!$NR$15,IF(P22=Data!$NN$7,Data!$NS$15,IF(P22=Data!$NN$8,Data!$NT$15,IF(P22=Data!$NN$9,Data!$NU$15,IF(P22=Data!$NN$10,Data!$NV$15,IF(P22=Data!$NN$11,Data!$NW$15,IF(P22=Data!$NN$12,Data!$NX$15,IF(P22=Data!$NN$13,Data!$NY$15,IF(P22=Data!$NN$14,Data!$NZ$15,IF(N22=Data!$NN$22,Data!$OA$15,IF(N22=Data!$NN$23,Data!$OB$15,IF(P22=Data!$NN$19,Data!$OC$15, IF(P22=Data!$NN$20,Data!$OG$15))))))))))))))))</f>
        <v>0</v>
      </c>
      <c r="EG22" s="330" t="e">
        <f>MATCH(G22, Data!$CW$10:$CW$14,0)</f>
        <v>#N/A</v>
      </c>
      <c r="EH22" s="169" t="e">
        <f>MATCH(J22,Data!$CX$9:$DA$9,0)</f>
        <v>#N/A</v>
      </c>
      <c r="EI22" s="334" t="e">
        <f>INDEX(Data!$CX$10:$DA$14,Shutters!EG22,Shutters!EH22)</f>
        <v>#N/A</v>
      </c>
      <c r="EJ22" s="169" t="str">
        <f>IF(SUM(--ISNUMBER(SEARCH({"combo","Combo","COMBO"}, B39))),"Yes","No")</f>
        <v>No</v>
      </c>
      <c r="EK22" s="169" t="str">
        <f>IF(SUM(--ISNUMBER(SEARCH({"combo","Combo","COMBO"}, F39))),"Yes","No")</f>
        <v>No</v>
      </c>
      <c r="EL22" s="169" t="str">
        <f t="shared" si="45"/>
        <v>No</v>
      </c>
      <c r="EM22" s="157">
        <f t="shared" si="46"/>
        <v>1</v>
      </c>
      <c r="EN22" s="157" t="e">
        <f t="shared" si="47"/>
        <v>#DIV/0!</v>
      </c>
      <c r="EO22" s="169" t="str">
        <f t="shared" si="48"/>
        <v/>
      </c>
      <c r="EP22" s="330" t="str">
        <f t="shared" si="49"/>
        <v/>
      </c>
      <c r="EQ22" s="330" t="str">
        <f t="shared" si="50"/>
        <v/>
      </c>
      <c r="ER22" s="169" t="str">
        <f t="shared" si="51"/>
        <v/>
      </c>
      <c r="ES22" s="169" t="str">
        <f t="shared" si="52"/>
        <v/>
      </c>
      <c r="ET22" s="169" t="str">
        <f t="shared" si="53"/>
        <v/>
      </c>
      <c r="EU22" s="264" t="str">
        <f t="shared" si="54"/>
        <v>No</v>
      </c>
      <c r="EV22" s="330" t="e">
        <f>MATCH(G22,Data!$FH$18:$FL$18,0)</f>
        <v>#N/A</v>
      </c>
      <c r="EW22" s="169" t="e">
        <f>MATCH(N22,Data!$FG$19:$FG$25,0)</f>
        <v>#N/A</v>
      </c>
      <c r="EX22" s="330" t="e">
        <f>INDEX(Data!$FH$19:$FL$25,Shutters!EW22,Shutters!EV22)</f>
        <v>#N/A</v>
      </c>
    </row>
    <row r="23" spans="1:154" ht="36.75" customHeight="1" thickBot="1">
      <c r="A23" s="53">
        <v>15</v>
      </c>
      <c r="B23" s="21"/>
      <c r="C23" s="22"/>
      <c r="D23" s="22"/>
      <c r="E23" s="22"/>
      <c r="F23" s="46"/>
      <c r="G23" s="21"/>
      <c r="H23" s="693"/>
      <c r="I23" s="793"/>
      <c r="J23" s="22"/>
      <c r="K23" s="145" t="str">
        <f t="shared" si="11"/>
        <v/>
      </c>
      <c r="L23" s="44"/>
      <c r="M23" s="44"/>
      <c r="N23" s="44"/>
      <c r="O23" s="44"/>
      <c r="P23" s="530"/>
      <c r="Q23" s="530"/>
      <c r="R23" s="21"/>
      <c r="S23" s="21"/>
      <c r="T23" s="21"/>
      <c r="U23" s="21"/>
      <c r="V23" s="44"/>
      <c r="W23" s="44"/>
      <c r="X23" s="30"/>
      <c r="Y23" s="30"/>
      <c r="Z23" s="22"/>
      <c r="AA23" s="22"/>
      <c r="AB23" s="22"/>
      <c r="AC23" s="44"/>
      <c r="AD23" s="165" t="str">
        <f t="shared" si="0"/>
        <v/>
      </c>
      <c r="AE23" s="229"/>
      <c r="AF23" s="230"/>
      <c r="AU23" s="109" t="str">
        <f t="shared" si="12"/>
        <v/>
      </c>
      <c r="AV23" s="65" t="e">
        <f t="shared" si="13"/>
        <v>#N/A</v>
      </c>
      <c r="AW23" s="169" t="e">
        <f>VLOOKUP(P23,Data!$MI$2:$MJ$4,2,FALSE)</f>
        <v>#N/A</v>
      </c>
      <c r="AX23" s="169" t="e">
        <f t="shared" si="14"/>
        <v>#N/A</v>
      </c>
      <c r="AY23" s="169" t="e">
        <f>VLOOKUP(N23,Data!$BI$24:$BJ$30,2,FALSE)</f>
        <v>#N/A</v>
      </c>
      <c r="AZ23" s="158" t="b">
        <f>IF(G23=Data!$BO$2,Data!$BS$2, IF(Shutters!G23=Data!$BP$2,Data!$BT$2, IF(Shutters!G23=Data!$BQ$2,Data!$BU$2)))</f>
        <v>0</v>
      </c>
      <c r="BA23" s="340" t="str">
        <f t="shared" si="15"/>
        <v>No</v>
      </c>
      <c r="BB23" s="158" t="e">
        <f t="shared" si="16"/>
        <v>#DIV/0!</v>
      </c>
      <c r="BC23" s="340" t="e">
        <f t="shared" si="17"/>
        <v>#DIV/0!</v>
      </c>
      <c r="BD23" s="158" t="e">
        <f t="shared" si="1"/>
        <v>#DIV/0!</v>
      </c>
      <c r="BE23" s="340" t="str">
        <f t="shared" si="18"/>
        <v>No</v>
      </c>
      <c r="BF23" s="155" t="str">
        <f t="shared" si="19"/>
        <v>NotRequired</v>
      </c>
      <c r="BG23" s="158" t="b">
        <f>IF(G23=Data!$BO$2,Data!$CM$2, IF(Shutters!G23=Data!$BP$2,Data!$CN$2, IF(Shutters!G23=Data!$BQ$2,Data!$CO$2)))</f>
        <v>0</v>
      </c>
      <c r="BH23" s="158" t="e">
        <f t="shared" si="20"/>
        <v>#DIV/0!</v>
      </c>
      <c r="BI23" s="159" t="str">
        <f t="shared" si="2"/>
        <v>NoHighlight</v>
      </c>
      <c r="BJ23" s="340" t="str">
        <f t="shared" si="21"/>
        <v>FauxwoodRPNo</v>
      </c>
      <c r="BK23" s="156" t="str">
        <f>IF(SUM(--ISNUMBER( SEARCH({"t","T"},O23))),"Yes","No")</f>
        <v>No</v>
      </c>
      <c r="BL23" s="159" t="str">
        <f t="shared" si="22"/>
        <v>OK</v>
      </c>
      <c r="BM23" s="159" t="str">
        <f t="shared" si="23"/>
        <v>OK</v>
      </c>
      <c r="BN23" s="159" t="str">
        <f t="shared" si="24"/>
        <v>OK</v>
      </c>
      <c r="BO23" s="159" t="e">
        <f>IF(OR(AND(F23&gt;1,#REF!="L",#REF!="l"),AND(F23&gt;1,#REF!="R",#REF!="r"),AND(F23&gt;2,#REF!="LR",#REF!="lr")), "Error","OK")</f>
        <v>#REF!</v>
      </c>
      <c r="BP23" s="159" t="str">
        <f t="shared" si="3"/>
        <v>FauxwoodAINo</v>
      </c>
      <c r="BQ23" s="159" t="str">
        <f>IF(SUM(--ISNUMBER(SEARCH({"combo","Combo","COMBO"}, B40))),"Yes","No")</f>
        <v>No</v>
      </c>
      <c r="BR23" s="159" t="str">
        <f t="shared" si="25"/>
        <v>No</v>
      </c>
      <c r="BS23" s="159" t="str">
        <f>IF(SUM(--ISNUMBER( SEARCH({"c","C","b","B"},#REF!))),"Yes","No")</f>
        <v>No</v>
      </c>
      <c r="BT23" s="160">
        <f t="shared" si="4"/>
        <v>0</v>
      </c>
      <c r="BU23" s="169" t="str">
        <f>IF(N23=Data!$BI$3,Data!$DR$3,IF(N23=Data!$BI$4,Data!$DS$3,IF(N23=Data!$BI$5,Data!$DT$3,IF(N23=Data!$BI$6,Data!$DU$3,IF(N23=Data!$BI$7,Data!$DV$3, IF(N23=Data!$BI$8,Data!$DX$3, IF(N23=Data!$BI$9,Data!$DW$3, "")))))))</f>
        <v/>
      </c>
      <c r="BV23" s="169" t="str">
        <f>IF(N23=Data!$BI$3,Data!$DY$3,IF(N23=Data!$BI$4,Data!$DZ$3,IF(N23=Data!$BI$5,Data!$EA$3,IF(N23=Data!$BI$6,Data!$EB$3,IF(N23=Data!$BI$7,Data!$EC$3,IF(N23=Data!$BI$8,Data!$EE$3, IF(N23=Data!$BI$9,Data!$ED$3,"")))))))</f>
        <v/>
      </c>
      <c r="BW23" s="160">
        <f t="shared" si="5"/>
        <v>0</v>
      </c>
      <c r="BX23" s="160">
        <f t="shared" si="6"/>
        <v>0</v>
      </c>
      <c r="BY23" s="161" t="e">
        <f t="shared" si="26"/>
        <v>#DIV/0!</v>
      </c>
      <c r="BZ23" s="330" t="b">
        <f>IF(G23=Data!$EU$2,Data!$ES$2,IF(G23=Data!$EU$3,Data!$ER$2, IF(G23=Data!$EU$5,Data!$ET$2, IF(G23=Data!$EU$4,Data!$EQ$2,IF(G23=Data!$EU$6,Data!$ER$2)))))</f>
        <v>0</v>
      </c>
      <c r="CA23" s="330" t="b">
        <f>IF(G23=Data!$EU$2,Data!$EW$2,IF(G23=Data!$EU$3,Data!$EX$2,IF(G23=Data!$EU$4,Data!$EY$2, IF(G23=Data!$EU$5,Data!$EY$2,IF(G23=Data!$EU$6,Data!$EX$2)))))</f>
        <v>0</v>
      </c>
      <c r="CB23" s="161" t="e">
        <f>VLOOKUP(M23,Data!$EJ$3:$EK$14,2,FALSE)</f>
        <v>#N/A</v>
      </c>
      <c r="CC23" s="169" t="str">
        <f>IF(J23="114mm",VLOOKUP(H23,Data!$FA$2:$FB$18,2,FALSE),"OK")</f>
        <v>OK</v>
      </c>
      <c r="CD23" s="161" t="e">
        <f t="shared" si="7"/>
        <v>#DIV/0!</v>
      </c>
      <c r="CE23" s="169" t="str">
        <f>IF(OR(AND(R23="",P23&lt;&gt;"")),VLOOKUP(P23,Data!$FC$2:$FD$18,2,FALSE),"")</f>
        <v/>
      </c>
      <c r="CF23" s="169" t="str">
        <f>IF(N23=Data!$BI$3,Data!$FJ$1,IF(N23=Data!$BI$4,Data!$FK$1,IF(N23=Data!$BI$5,Data!$FL$1,IF(N23=Data!$BI$6,Data!$FM$1,IF(N23=Data!$BI$7,Data!$FN$1, IF(N23=Data!$BI$8,Data!$FO$1, IF(N23=Data!$BI$9,Data!$FI$1, "")))))))</f>
        <v/>
      </c>
      <c r="CG23" s="161" t="str">
        <f>IF(SUM(--ISNUMBER(SEARCH({"z","Z"}, P23))),"Yes","No")</f>
        <v>No</v>
      </c>
      <c r="CH23" s="161" t="str">
        <f t="shared" si="8"/>
        <v>OK</v>
      </c>
      <c r="CI23" s="169">
        <f t="shared" si="27"/>
        <v>0</v>
      </c>
      <c r="CJ23" s="169" t="e">
        <f>VLOOKUP(O23,Data!$DO$4:$DP$156,2,FALSE)</f>
        <v>#N/A</v>
      </c>
      <c r="CK23" s="161" t="e">
        <f t="shared" si="9"/>
        <v>#N/A</v>
      </c>
      <c r="CL23" s="160"/>
      <c r="CM23" s="160"/>
      <c r="CN23" s="160"/>
      <c r="CO23" s="344" t="str">
        <f t="shared" si="28"/>
        <v>OK</v>
      </c>
      <c r="CP23" s="169" t="b">
        <f t="shared" si="29"/>
        <v>0</v>
      </c>
      <c r="CQ23" s="161">
        <f>IF(E23="IN",1,IF(E23="OUT",1,0))</f>
        <v>0</v>
      </c>
      <c r="CR23" s="161">
        <f>IF(P23="No Frame",0,IF(P23="Hanging Strip",0,1))</f>
        <v>1</v>
      </c>
      <c r="CS23" s="161">
        <f>CP23*CQ23*CR23</f>
        <v>0</v>
      </c>
      <c r="CT23" s="157" t="e">
        <f t="shared" si="33"/>
        <v>#DIV/0!</v>
      </c>
      <c r="CU23" s="169" t="b">
        <f>IF(H23=Data!$BD$3,Data!$HC$2,IF(H23=Data!$BD$4,Data!$HM$2,IF(H23=Data!$BD$5,Data!$HF$2,IF(H23=Data!$BD$6,Data!$HB$2,IF(H23=Data!$BD$7,Data!$HD$2,IF(H23=Data!$BD$8,Data!$HJ$2,IF(H23=Data!$BD$9,Data!$HN$2,IF(H23=Data!$BD$10,Data!$HA$2,IF(H23=Data!$BD$11,Data!$HI$2)))))))))</f>
        <v>0</v>
      </c>
      <c r="CV23" s="276" t="b">
        <f>IF(H23=Data!$BE$3,Data!$HQ$2, IF(H23=Data!$BE$4,Data!$HP$2, IF(H23=Data!$BE$5,Data!$HR$2, IF(H23=Data!$BE$6,Data!$HO$2))))</f>
        <v>0</v>
      </c>
      <c r="CW23" s="330" t="b">
        <f>IF(H23=Data!$BH$3,Data!$HU$2, IF(H23=Data!$BH$4,Data!$HT$2, IF(H23=Data!$BH$5,Data!$HS$2)))</f>
        <v>0</v>
      </c>
      <c r="CX23" s="330" t="b">
        <f>IF(H23=Data!$BF$3,Data!$HQ$16, IF(H23=Data!$BF$4,Data!$HP$16, IF(H23=Data!$BF$5,Data!$HR$16, IF(H23=Data!$BF$6,Data!$HO$16))))</f>
        <v>0</v>
      </c>
      <c r="CY23" s="330" t="b">
        <f>IF(G23=Data!$BC$3,Shutters!CU23,IF(G23=Data!$BC$4,Shutters!CV23,IF(G23=Data!$BC$6,Shutters!CW23, IF(G23=Data!$BC$5, Shutters!CX23,IF(G23=Data!$BC$7,Shutters!CV23)))))</f>
        <v>0</v>
      </c>
      <c r="CZ23" s="160" t="e">
        <f>IF(OR(AND(L23&gt;0,#REF!="")), "Error","OK")</f>
        <v>#REF!</v>
      </c>
      <c r="DA23" s="169" t="e">
        <f>IF(COUNTIF(#REF!,Data!$CX$6),"Yes","")</f>
        <v>#REF!</v>
      </c>
      <c r="DB23" s="54" t="str">
        <f t="shared" si="34"/>
        <v/>
      </c>
      <c r="DE23" s="54" t="str">
        <f>IF(N23=Data!$BI$5,"Yes",IF(N23=Data!$BI$6,"Yes","No"))</f>
        <v>No</v>
      </c>
      <c r="DF23" s="65" t="b">
        <f>IF(N23=Data!$BI$3,Data!$JB$2,IF(N23=Data!$BI$4,Data!$JC$2,IF(N23=Data!$BI$5,Data!$JD$2,IF(N23=Data!$BI$6,Data!$JE$2,IF(N23=Data!$BI$7,Data!$JF$2, IF(N23=Data!$BI$8,Data!$JA$2, IF(N23=Data!$BI$9,Data!$JG$2)))))))</f>
        <v>0</v>
      </c>
      <c r="DI23" s="65" t="e">
        <f>VLOOKUP(O23,Data!$DO$4:$DQ$156,3,FALSE)</f>
        <v>#N/A</v>
      </c>
      <c r="DJ23" s="54" t="e">
        <f t="shared" si="10"/>
        <v>#N/A</v>
      </c>
      <c r="DK23" s="54" t="e">
        <f>IF(DJ23=0,"OK", "Layout Code &amp; T Post Quantity Issue")</f>
        <v>#N/A</v>
      </c>
      <c r="DL23" s="54" t="b">
        <f>IF(P23=Data!$BK$3,Data!$JH$2,IF(P23=Data!$BK$4,Data!$JI$2,IF(P23=Data!$BK$5,Data!$JJ$2,IF(P23=Data!$BK$6,Data!$JK$2,IF(P23=Data!$BK$7,Data!$JL$2,IF(P23=Data!$BK$8,Data!$JM$2,IF(P23=Data!$BK$9,Data!$JN$2,IF(P23=Data!$BK$10,Data!$JO$2,IF(P23=Data!$BK$11,Data!$JP$2,IF(P23=Data!$BK$12,Data!$JQ$2,IF(P23=Data!$BK$13,Data!$JR$2,IF(P23=Data!$BK$14,Data!$JS$2,IF(P23=Data!$BK$15,Data!$JT$2,IF(P23=Data!$BK$16,Data!$JU$2,IF(P23=Data!$BK$17,Data!$JV$2,IF(P23=Data!$BK$18,Data!$JW$2, IF(P23=Data!$BK$19,Data!$JX$2, IF(P23=Data!$BK$20,Data!$JY$2))))))))))))))))))</f>
        <v>0</v>
      </c>
      <c r="DN23" s="169" t="str">
        <f t="shared" si="36"/>
        <v/>
      </c>
      <c r="DO23" s="169" t="e">
        <f t="shared" si="37"/>
        <v>#N/A</v>
      </c>
      <c r="DP23" s="169" t="str">
        <f t="shared" si="38"/>
        <v>OK</v>
      </c>
      <c r="DQ23" s="169" t="str">
        <f t="shared" si="39"/>
        <v>OK</v>
      </c>
      <c r="DR23" s="169" t="str">
        <f t="shared" si="40"/>
        <v>OK</v>
      </c>
      <c r="DS23" s="169" t="str">
        <f t="shared" si="41"/>
        <v>OK</v>
      </c>
      <c r="DT23" s="65" t="b">
        <f>IF(N23=Data!$LW$2,Data!$LX$1,IF(N23=Data!$LW$3,Data!$LY$1,IF(N23=Data!$LW$4,Data!$LZ$1,IF(N23=Data!$LW$5,Data!$MA$1,IF(N23=Data!$LW$6,Data!$MB$1,IF(N23=Data!$LW$7,Data!$MC$1, IF(N23=Data!$LW$8,Data!$MX$1)))))))</f>
        <v>0</v>
      </c>
      <c r="DU23" s="65" t="b">
        <f>IF(E23=Data!$MD$2,Data!$ME$2, IF(E23=Data!$MD$3,Data!$MF$2, IF(E23=Data!$MD$4,Data!$MG$2)))</f>
        <v>0</v>
      </c>
      <c r="DV23" s="54" t="str">
        <f>IF(E23="MS", Data!$AK$1, Data!$EJ$2)</f>
        <v>Special_Window</v>
      </c>
      <c r="DW23" s="65" t="str">
        <f>IF(OR(AND(S23="",P23&lt;&gt;"")),VLOOKUP(P23,Data!$FC$2:$FD$18,2,FALSE),"")</f>
        <v/>
      </c>
      <c r="DX23" s="65" t="str">
        <f>IF(OR(AND(T23="",P23&lt;&gt;"")),VLOOKUP(P23,Data!$FC$2:$FD$18,2,FALSE),"")</f>
        <v/>
      </c>
      <c r="DY23" s="65" t="str">
        <f>IF(OR(AND(U23="",P23&lt;&gt;"")),VLOOKUP(P23,Data!$FC$2:$FD$18,2,FALSE),"")</f>
        <v/>
      </c>
      <c r="DZ23" s="157" t="e">
        <f>VLOOKUP(N23,Data!$MK$2:$ML$8,2,FALSE)</f>
        <v>#N/A</v>
      </c>
      <c r="EA23" s="65" t="e">
        <f>VLOOKUP(O23,Data!$DO$4:$DO$157,1,FALSE)</f>
        <v>#N/A</v>
      </c>
      <c r="EB23" s="65" t="e">
        <f t="shared" si="42"/>
        <v>#N/A</v>
      </c>
      <c r="EC23" s="54" t="str">
        <f t="shared" si="43"/>
        <v/>
      </c>
      <c r="ED23" s="157" t="str">
        <f t="shared" si="44"/>
        <v>OK</v>
      </c>
      <c r="EE23" s="169" t="b">
        <f>IF(P23=Data!$NN$3,Data!$NO$2, IF(P23=Data!$NN$4,Data!$NP$2, IF(P23=Data!$NN$5,Data!$NQ$2, IF(P23=Data!$NN$6,Data!$NR$2, IF(P23=Data!$NN$7,Data!$NS$2, IF(P23=Data!$NN$8,Data!$NT$2, IF(P23=Data!$NN$9,Data!$NU$2, IF(P23=Data!$NN$10,Data!$NV$2, IF(P23=Data!$NN$11,Data!$NW$2, IF(P23=Data!$NN$12,Data!$NX$2, IF(P23=Data!$NN$13,Data!$NY$2, IF(P23=Data!$NN$14,Data!$NZ$2, IF(P23=Data!$NN$15,Data!$OA$2, IF(P23=Data!$NN$16,Data!$OB$2, IF(P23=Data!$NN$17,Data!$OC$2, IF(P23=Data!$NN$18,Data!$OD$2, IF(P23=Data!$NN$19,Data!$OE$2, IF(P23=Data!$NN$20,Data!$OG$2))))))))))))))))))</f>
        <v>0</v>
      </c>
      <c r="EF23" s="169" t="b">
        <f>IF(P23=Data!$NN$3,Data!$NO$15,IF(P23=Data!$NN$4,Data!$NP$15,IF(P23=Data!$NN$5,Data!$NQ$15,IF(P23=Data!$NN$6,Data!$NR$15,IF(P23=Data!$NN$7,Data!$NS$15,IF(P23=Data!$NN$8,Data!$NT$15,IF(P23=Data!$NN$9,Data!$NU$15,IF(P23=Data!$NN$10,Data!$NV$15,IF(P23=Data!$NN$11,Data!$NW$15,IF(P23=Data!$NN$12,Data!$NX$15,IF(P23=Data!$NN$13,Data!$NY$15,IF(P23=Data!$NN$14,Data!$NZ$15,IF(N23=Data!$NN$22,Data!$OA$15,IF(N23=Data!$NN$23,Data!$OB$15,IF(P23=Data!$NN$19,Data!$OC$15, IF(P23=Data!$NN$20,Data!$OG$15))))))))))))))))</f>
        <v>0</v>
      </c>
      <c r="EG23" s="330" t="e">
        <f>MATCH(G23, Data!$CW$10:$CW$14,0)</f>
        <v>#N/A</v>
      </c>
      <c r="EH23" s="169" t="e">
        <f>MATCH(J23,Data!$CX$9:$DA$9,0)</f>
        <v>#N/A</v>
      </c>
      <c r="EI23" s="334" t="e">
        <f>INDEX(Data!$CX$10:$DA$14,Shutters!EG23,Shutters!EH23)</f>
        <v>#N/A</v>
      </c>
      <c r="EJ23" s="169" t="str">
        <f>IF(SUM(--ISNUMBER(SEARCH({"combo","Combo","COMBO"}, B40))),"Yes","No")</f>
        <v>No</v>
      </c>
      <c r="EK23" s="169" t="str">
        <f>IF(SUM(--ISNUMBER(SEARCH({"combo","Combo","COMBO"}, F40))),"Yes","No")</f>
        <v>No</v>
      </c>
      <c r="EL23" s="169" t="str">
        <f t="shared" si="45"/>
        <v>No</v>
      </c>
      <c r="EM23" s="157">
        <f t="shared" si="46"/>
        <v>1</v>
      </c>
      <c r="EN23" s="157" t="e">
        <f t="shared" si="47"/>
        <v>#DIV/0!</v>
      </c>
      <c r="EO23" s="169" t="str">
        <f t="shared" si="48"/>
        <v/>
      </c>
      <c r="EP23" s="330" t="str">
        <f t="shared" si="49"/>
        <v/>
      </c>
      <c r="EQ23" s="330" t="str">
        <f t="shared" si="50"/>
        <v/>
      </c>
      <c r="ER23" s="169" t="str">
        <f t="shared" si="51"/>
        <v/>
      </c>
      <c r="ES23" s="169" t="str">
        <f t="shared" si="52"/>
        <v/>
      </c>
      <c r="ET23" s="169" t="str">
        <f t="shared" si="53"/>
        <v/>
      </c>
      <c r="EU23" s="264" t="str">
        <f t="shared" si="54"/>
        <v>No</v>
      </c>
      <c r="EV23" s="330" t="e">
        <f>MATCH(G23,Data!$FH$18:$FL$18,0)</f>
        <v>#N/A</v>
      </c>
      <c r="EW23" s="169" t="e">
        <f>MATCH(N23,Data!$FG$19:$FG$25,0)</f>
        <v>#N/A</v>
      </c>
      <c r="EX23" s="330" t="e">
        <f>INDEX(Data!$FH$19:$FL$25,Shutters!EW23,Shutters!EV23)</f>
        <v>#N/A</v>
      </c>
    </row>
    <row r="24" spans="1:154" ht="18.75" customHeight="1" thickTop="1" thickBot="1">
      <c r="A24" s="796"/>
      <c r="B24" s="796"/>
      <c r="K24" s="55"/>
      <c r="L24" s="55"/>
      <c r="M24" s="167"/>
      <c r="N24" s="167"/>
      <c r="O24" s="167"/>
      <c r="P24" s="167"/>
      <c r="Q24" s="167"/>
      <c r="R24" s="168"/>
      <c r="AU24" s="55"/>
      <c r="BA24" s="65"/>
      <c r="BC24" s="65"/>
      <c r="BE24" s="65"/>
      <c r="BI24" s="65"/>
      <c r="BJ24" s="54"/>
      <c r="BU24" s="65"/>
      <c r="BV24" s="65"/>
      <c r="BZ24" s="65"/>
      <c r="CE24" s="65"/>
      <c r="CF24" s="65"/>
      <c r="CI24" s="65"/>
      <c r="CJ24" s="65"/>
      <c r="CK24" s="65"/>
      <c r="CO24" s="278"/>
      <c r="CP24" s="65"/>
      <c r="CQ24" s="65"/>
      <c r="CR24" s="65"/>
      <c r="CS24" s="65"/>
      <c r="CT24" s="54"/>
      <c r="CU24" s="65"/>
      <c r="CW24" s="65"/>
      <c r="CX24" s="65"/>
      <c r="DF24" s="65"/>
      <c r="DI24" s="65"/>
      <c r="DK24" s="54" t="str">
        <f>IF(COUNTIF(DK9:DK23,Data!JZ2),"Layout Code &amp; T Post Quantity Issue","")</f>
        <v/>
      </c>
      <c r="DL24" s="54"/>
      <c r="DW24" s="65"/>
      <c r="DX24" s="65"/>
      <c r="DY24" s="65"/>
    </row>
    <row r="25" spans="1:154" ht="29.25" customHeight="1" thickTop="1" thickBot="1">
      <c r="A25" s="135" t="s">
        <v>146</v>
      </c>
      <c r="B25" s="749" t="s">
        <v>642</v>
      </c>
      <c r="C25" s="750"/>
      <c r="D25" s="750"/>
      <c r="E25" s="751"/>
      <c r="F25" s="790" t="s">
        <v>643</v>
      </c>
      <c r="G25" s="790"/>
      <c r="H25" s="790"/>
      <c r="I25" s="790"/>
      <c r="J25" s="790"/>
      <c r="K25" s="749" t="s">
        <v>790</v>
      </c>
      <c r="L25" s="750"/>
      <c r="M25" s="751"/>
      <c r="N25" s="749" t="s">
        <v>793</v>
      </c>
      <c r="O25" s="750"/>
      <c r="P25" s="750"/>
      <c r="Q25" s="750"/>
      <c r="R25" s="750"/>
      <c r="S25" s="750"/>
      <c r="T25" s="751"/>
      <c r="U25" s="743" t="s">
        <v>163</v>
      </c>
      <c r="V25" s="743"/>
      <c r="W25" s="743"/>
      <c r="X25" s="743"/>
      <c r="Y25" s="743"/>
      <c r="Z25" s="743"/>
      <c r="AA25" s="743"/>
      <c r="AB25" s="743"/>
      <c r="AC25" s="743"/>
      <c r="AD25" s="744"/>
      <c r="AE25" s="56"/>
      <c r="AF25" s="56"/>
      <c r="AG25" s="83"/>
      <c r="BA25" s="65"/>
      <c r="BC25" s="65"/>
      <c r="BE25" s="65"/>
      <c r="BI25" s="65"/>
      <c r="BJ25" s="54"/>
      <c r="BU25" s="65"/>
      <c r="BV25" s="65"/>
      <c r="BZ25" s="65"/>
      <c r="CE25" s="65"/>
      <c r="CF25" s="65"/>
      <c r="CI25" s="65"/>
      <c r="CJ25" s="65"/>
      <c r="CK25" s="65"/>
      <c r="CO25" s="278"/>
      <c r="CP25" s="65"/>
      <c r="CQ25" s="65"/>
      <c r="CR25" s="65"/>
      <c r="CS25" s="65"/>
      <c r="CT25" s="54"/>
      <c r="CU25" s="65"/>
      <c r="CW25" s="65"/>
      <c r="CX25" s="65"/>
      <c r="DF25" s="65"/>
      <c r="DI25" s="65"/>
      <c r="DL25" s="54"/>
      <c r="DW25" s="65"/>
      <c r="DX25" s="65"/>
      <c r="DY25" s="65"/>
    </row>
    <row r="26" spans="1:154" ht="18" customHeight="1" thickTop="1">
      <c r="A26" s="124">
        <v>1</v>
      </c>
      <c r="B26" s="797"/>
      <c r="C26" s="797"/>
      <c r="D26" s="797"/>
      <c r="E26" s="797"/>
      <c r="F26" s="791"/>
      <c r="G26" s="791"/>
      <c r="H26" s="791"/>
      <c r="I26" s="791"/>
      <c r="J26" s="792"/>
      <c r="K26" s="739"/>
      <c r="L26" s="739"/>
      <c r="M26" s="739"/>
      <c r="N26" s="739"/>
      <c r="O26" s="739"/>
      <c r="P26" s="739"/>
      <c r="Q26" s="739"/>
      <c r="R26" s="739"/>
      <c r="S26" s="739"/>
      <c r="T26" s="739"/>
      <c r="U26" s="753"/>
      <c r="V26" s="754"/>
      <c r="W26" s="754"/>
      <c r="X26" s="754"/>
      <c r="Y26" s="754"/>
      <c r="Z26" s="754"/>
      <c r="AA26" s="754"/>
      <c r="AB26" s="754"/>
      <c r="AC26" s="754"/>
      <c r="AD26" s="755"/>
      <c r="AE26" s="57"/>
      <c r="AF26" s="57"/>
      <c r="AG26" s="83"/>
      <c r="AZ26" s="346" t="b">
        <f>IF(D43=Data!$FF$2,Data!$FS$1,IF(D43=Data!$FF$3,Data!$FT$1,IF(D43=Data!$FF$4,Data!$FU$1,IF(D43=Data!$FF$5,Data!$FV$1,IF(D43=Data!$FF$6,Data!$FR$1,IF(D43=Data!$FF$7,Data!$FW$1,IF(D43=Data!$FF$8,Data!$FX$1,IF(D43=Data!$FF$9,Data!$FY$1,IF(D43=Data!$FF$10,Data!$FZ$1,IF(D43=Data!$FF$11,Data!$GY$1,IF(D43=Data!$FF$12,Data!$GZ$1,IF(D43=Data!$FF$13,Data!$GX$1,IF(D43=Data!$FF$14,Data!$GA$1,IF(D43=Data!$FF$15,Data!$GB$1,IF(D43=Data!$FF$16,Data!$GC$1,IF(D43=Data!$FF$17,Data!$GD$1,IF(D43=Data!$FF$18,Data!$GE$1,IF(D43=Data!$FF$19,Data!$GF$1,IF(D43=Data!$FF$20,Data!$GG$1,IF(D43=Data!$FF$21,Data!$GH$1,IF(D43=Data!$FF$22,Data!$GI$1,IF(D43=Data!$FF$23,Data!$GJ$1,IF(D43=Data!$FF$24,Data!$GK$1,IF(D43=Data!$FF$25,Data!$GL$1,IF(D43=Data!$FF$26,Data!$GM$1,IF(D43=Data!$FF$27,Data!$GN$1,IF(D43=Data!$FF$28,Data!$GP$1,IF(D43=Data!$FF$29,Data!$GQ$1,IF(D43=Data!$FF$30,Data!$GR$1,IF(D43=Data!$FF$31,Data!$GS$1,IF(D43=Data!$FF$32,Data!$GT$1,IF(D43=Data!$FF$33,Data!$GU$1,IF(D43=Data!$FF$34,Data!$GV$1,IF(D43=Data!$FF$35,Data!$GW$1,IF(D43=Data!$FF$36,Data!$FZ$13,IF(D43=Data!$FF$37,Data!$GS$12,IF(D43=Data!$FF$38,Data!$GX$12)))))))))))))))))))))))))))))))))))))</f>
        <v>0</v>
      </c>
      <c r="BA26" s="65"/>
      <c r="BC26" s="65"/>
      <c r="BE26" s="65"/>
      <c r="BI26" s="65"/>
      <c r="BJ26" s="54"/>
      <c r="BU26" s="65"/>
      <c r="BV26" s="65"/>
      <c r="BZ26" s="65"/>
      <c r="CE26" s="65"/>
      <c r="CF26" s="65"/>
      <c r="CI26" s="65"/>
      <c r="CJ26" s="65"/>
      <c r="CK26" s="65"/>
      <c r="CO26" s="278"/>
      <c r="CP26" s="65"/>
      <c r="CQ26" s="65"/>
      <c r="CR26" s="65"/>
      <c r="CS26" s="65"/>
      <c r="CT26" s="54"/>
      <c r="CU26" s="65"/>
      <c r="CW26" s="65"/>
      <c r="CX26" s="65"/>
      <c r="DF26" s="65"/>
      <c r="DI26" s="65"/>
      <c r="DL26" s="54"/>
      <c r="DW26" s="65"/>
      <c r="DX26" s="65"/>
      <c r="DY26" s="65"/>
    </row>
    <row r="27" spans="1:154" ht="18" customHeight="1">
      <c r="A27" s="125">
        <v>2</v>
      </c>
      <c r="B27" s="740"/>
      <c r="C27" s="740"/>
      <c r="D27" s="740"/>
      <c r="E27" s="740"/>
      <c r="F27" s="718"/>
      <c r="G27" s="718"/>
      <c r="H27" s="718"/>
      <c r="I27" s="718"/>
      <c r="J27" s="752"/>
      <c r="K27" s="740"/>
      <c r="L27" s="740"/>
      <c r="M27" s="740"/>
      <c r="N27" s="740"/>
      <c r="O27" s="740"/>
      <c r="P27" s="740"/>
      <c r="Q27" s="740"/>
      <c r="R27" s="740"/>
      <c r="S27" s="740"/>
      <c r="T27" s="740"/>
      <c r="U27" s="756"/>
      <c r="V27" s="757"/>
      <c r="W27" s="757"/>
      <c r="X27" s="757"/>
      <c r="Y27" s="757"/>
      <c r="Z27" s="757"/>
      <c r="AA27" s="757"/>
      <c r="AB27" s="757"/>
      <c r="AC27" s="757"/>
      <c r="AD27" s="758"/>
      <c r="AE27" s="57"/>
      <c r="AF27" s="57"/>
      <c r="AG27" s="83"/>
      <c r="AZ27" s="346" t="b">
        <f>IF(D44=Data!$FF$2,Data!$FS$1,IF(D44=Data!$FF$3,Data!$FT$1,IF(D44=Data!$FF$4,Data!$FU$1,IF(D44=Data!$FF$5,Data!$FV$1,IF(D44=Data!$FF$6,Data!$FR$1,IF(D44=Data!$FF$7,Data!$FW$1,IF(D44=Data!$FF$8,Data!$FX$1,IF(D44=Data!$FF$9,Data!$FY$1,IF(D44=Data!$FF$10,Data!$FZ$1,IF(D44=Data!$FF$11,Data!$GY$1,IF(D44=Data!$FF$12,Data!$GZ$1,IF(D44=Data!$FF$13,Data!$GX$1,IF(D44=Data!$FF$14,Data!$GA$1,IF(D44=Data!$FF$15,Data!$GB$1,IF(D44=Data!$FF$16,Data!$GC$1,IF(D44=Data!$FF$17,Data!$GD$1,IF(D44=Data!$FF$18,Data!$GE$1,IF(D44=Data!$FF$19,Data!$GF$1,IF(D44=Data!$FF$20,Data!$GG$1,IF(D44=Data!$FF$21,Data!$GH$1,IF(D44=Data!$FF$22,Data!$GI$1,IF(D44=Data!$FF$23,Data!$GJ$1,IF(D44=Data!$FF$24,Data!$GK$1,IF(D44=Data!$FF$25,Data!$GL$1,IF(D44=Data!$FF$26,Data!$GM$1,IF(D44=Data!$FF$27,Data!$GN$1,IF(D44=Data!$FF$28,Data!$GP$1,IF(D44=Data!$FF$29,Data!$GQ$1,IF(D44=Data!$FF$30,Data!$GR$1,IF(D44=Data!$FF$31,Data!$GS$1,IF(D44=Data!$FF$32,Data!$GT$1,IF(D44=Data!$FF$33,Data!$GU$1,IF(D44=Data!$FF$34,Data!$GV$1,IF(D44=Data!$FF$35,Data!$GW$1,IF(D44=Data!$FF$36,Data!$FZ$13,IF(D44=Data!$FF$37,Data!$GS$12,IF(D44=Data!$FF$38,Data!$GX$12)))))))))))))))))))))))))))))))))))))</f>
        <v>0</v>
      </c>
      <c r="BA27" s="65"/>
      <c r="BC27" s="65"/>
      <c r="BE27" s="65"/>
      <c r="BI27" s="65"/>
      <c r="BJ27" s="54"/>
      <c r="BU27" s="65"/>
      <c r="BV27" s="65"/>
      <c r="BZ27" s="65"/>
      <c r="CE27" s="65"/>
      <c r="CF27" s="65"/>
      <c r="CI27" s="65"/>
      <c r="CJ27" s="65"/>
      <c r="CK27" s="65"/>
      <c r="CO27" s="278"/>
      <c r="CP27" s="65"/>
      <c r="CQ27" s="65"/>
      <c r="CR27" s="65"/>
      <c r="CS27" s="65"/>
      <c r="CT27" s="54"/>
      <c r="CU27" s="65"/>
      <c r="CW27" s="65"/>
      <c r="CX27" s="65"/>
      <c r="DF27" s="65"/>
      <c r="DI27" s="65"/>
      <c r="DL27" s="54"/>
      <c r="DW27" s="65"/>
      <c r="DX27" s="65"/>
      <c r="DY27" s="65"/>
    </row>
    <row r="28" spans="1:154" ht="18" customHeight="1">
      <c r="A28" s="125">
        <v>3</v>
      </c>
      <c r="B28" s="740"/>
      <c r="C28" s="740"/>
      <c r="D28" s="740"/>
      <c r="E28" s="740"/>
      <c r="F28" s="718"/>
      <c r="G28" s="718"/>
      <c r="H28" s="718"/>
      <c r="I28" s="718"/>
      <c r="J28" s="752"/>
      <c r="K28" s="740"/>
      <c r="L28" s="740"/>
      <c r="M28" s="740"/>
      <c r="N28" s="740"/>
      <c r="O28" s="740"/>
      <c r="P28" s="740"/>
      <c r="Q28" s="740"/>
      <c r="R28" s="740"/>
      <c r="S28" s="740"/>
      <c r="T28" s="740"/>
      <c r="U28" s="756"/>
      <c r="V28" s="757"/>
      <c r="W28" s="757"/>
      <c r="X28" s="757"/>
      <c r="Y28" s="757"/>
      <c r="Z28" s="757"/>
      <c r="AA28" s="757"/>
      <c r="AB28" s="757"/>
      <c r="AC28" s="757"/>
      <c r="AD28" s="758"/>
      <c r="AE28" s="57"/>
      <c r="AF28" s="57"/>
      <c r="AG28" s="83"/>
      <c r="AZ28" s="346" t="b">
        <f>IF(D45=Data!$FF$2,Data!$FS$1,IF(D45=Data!$FF$3,Data!$FT$1,IF(D45=Data!$FF$4,Data!$FU$1,IF(D45=Data!$FF$5,Data!$FV$1,IF(D45=Data!$FF$6,Data!$FR$1,IF(D45=Data!$FF$7,Data!$FW$1,IF(D45=Data!$FF$8,Data!$FX$1,IF(D45=Data!$FF$9,Data!$FY$1,IF(D45=Data!$FF$10,Data!$FZ$1,IF(D45=Data!$FF$11,Data!$GY$1,IF(D45=Data!$FF$12,Data!$GZ$1,IF(D45=Data!$FF$13,Data!$GX$1,IF(D45=Data!$FF$14,Data!$GA$1,IF(D45=Data!$FF$15,Data!$GB$1,IF(D45=Data!$FF$16,Data!$GC$1,IF(D45=Data!$FF$17,Data!$GD$1,IF(D45=Data!$FF$18,Data!$GE$1,IF(D45=Data!$FF$19,Data!$GF$1,IF(D45=Data!$FF$20,Data!$GG$1,IF(D45=Data!$FF$21,Data!$GH$1,IF(D45=Data!$FF$22,Data!$GI$1,IF(D45=Data!$FF$23,Data!$GJ$1,IF(D45=Data!$FF$24,Data!$GK$1,IF(D45=Data!$FF$25,Data!$GL$1,IF(D45=Data!$FF$26,Data!$GM$1,IF(D45=Data!$FF$27,Data!$GN$1,IF(D45=Data!$FF$28,Data!$GP$1,IF(D45=Data!$FF$29,Data!$GQ$1,IF(D45=Data!$FF$30,Data!$GR$1,IF(D45=Data!$FF$31,Data!$GS$1,IF(D45=Data!$FF$32,Data!$GT$1,IF(D45=Data!$FF$33,Data!$GU$1,IF(D45=Data!$FF$34,Data!$GV$1,IF(D45=Data!$FF$35,Data!$GW$1,IF(D45=Data!$FF$36,Data!$FZ$13,IF(D45=Data!$FF$37,Data!$GS$12,IF(D45=Data!$FF$38,Data!$GX$12)))))))))))))))))))))))))))))))))))))</f>
        <v>0</v>
      </c>
      <c r="BA28" s="65"/>
      <c r="BC28" s="65"/>
      <c r="BE28" s="65"/>
      <c r="BI28" s="65"/>
      <c r="BJ28" s="54"/>
      <c r="BU28" s="65"/>
      <c r="BV28" s="65"/>
      <c r="BZ28" s="65"/>
      <c r="CE28" s="65"/>
      <c r="CF28" s="65"/>
      <c r="CI28" s="65"/>
      <c r="CJ28" s="65"/>
      <c r="CK28" s="65"/>
      <c r="CO28" s="278"/>
      <c r="CP28" s="65"/>
      <c r="CQ28" s="65"/>
      <c r="CR28" s="65"/>
      <c r="CS28" s="65"/>
      <c r="CT28" s="54"/>
      <c r="CU28" s="65"/>
      <c r="CW28" s="65"/>
      <c r="CX28" s="65"/>
      <c r="DF28" s="65"/>
      <c r="DI28" s="65"/>
      <c r="DL28" s="54"/>
      <c r="DW28" s="65"/>
      <c r="DX28" s="65"/>
      <c r="DY28" s="65"/>
    </row>
    <row r="29" spans="1:154" ht="18" customHeight="1">
      <c r="A29" s="125">
        <v>4</v>
      </c>
      <c r="B29" s="740"/>
      <c r="C29" s="740"/>
      <c r="D29" s="740"/>
      <c r="E29" s="740"/>
      <c r="F29" s="718"/>
      <c r="G29" s="718"/>
      <c r="H29" s="718"/>
      <c r="I29" s="718"/>
      <c r="J29" s="752"/>
      <c r="K29" s="740"/>
      <c r="L29" s="740"/>
      <c r="M29" s="740"/>
      <c r="N29" s="740"/>
      <c r="O29" s="740"/>
      <c r="P29" s="740"/>
      <c r="Q29" s="740"/>
      <c r="R29" s="740"/>
      <c r="S29" s="740"/>
      <c r="T29" s="740"/>
      <c r="U29" s="756"/>
      <c r="V29" s="757"/>
      <c r="W29" s="757"/>
      <c r="X29" s="757"/>
      <c r="Y29" s="757"/>
      <c r="Z29" s="757"/>
      <c r="AA29" s="757"/>
      <c r="AB29" s="757"/>
      <c r="AC29" s="757"/>
      <c r="AD29" s="758"/>
      <c r="AE29" s="57"/>
      <c r="AF29" s="57"/>
      <c r="AG29" s="83"/>
      <c r="AZ29" s="346" t="b">
        <f>IF(D46=Data!$FF$2,Data!$FS$1,IF(D46=Data!$FF$3,Data!$FT$1,IF(D46=Data!$FF$4,Data!$FU$1,IF(D46=Data!$FF$5,Data!$FV$1,IF(D46=Data!$FF$6,Data!$FR$1,IF(D46=Data!$FF$7,Data!$FW$1,IF(D46=Data!$FF$8,Data!$FX$1,IF(D46=Data!$FF$9,Data!$FY$1,IF(D46=Data!$FF$10,Data!$FZ$1,IF(D46=Data!$FF$11,Data!$GY$1,IF(D46=Data!$FF$12,Data!$GZ$1,IF(D46=Data!$FF$13,Data!$GX$1,IF(D46=Data!$FF$14,Data!$GA$1,IF(D46=Data!$FF$15,Data!$GB$1,IF(D46=Data!$FF$16,Data!$GC$1,IF(D46=Data!$FF$17,Data!$GD$1,IF(D46=Data!$FF$18,Data!$GE$1,IF(D46=Data!$FF$19,Data!$GF$1,IF(D46=Data!$FF$20,Data!$GG$1,IF(D46=Data!$FF$21,Data!$GH$1,IF(D46=Data!$FF$22,Data!$GI$1,IF(D46=Data!$FF$23,Data!$GJ$1,IF(D46=Data!$FF$24,Data!$GK$1,IF(D46=Data!$FF$25,Data!$GL$1,IF(D46=Data!$FF$26,Data!$GM$1,IF(D46=Data!$FF$27,Data!$GN$1,IF(D46=Data!$FF$28,Data!$GP$1,IF(D46=Data!$FF$29,Data!$GQ$1,IF(D46=Data!$FF$30,Data!$GR$1,IF(D46=Data!$FF$31,Data!$GS$1,IF(D46=Data!$FF$32,Data!$GT$1,IF(D46=Data!$FF$33,Data!$GU$1,IF(D46=Data!$FF$34,Data!$GV$1,IF(D46=Data!$FF$35,Data!$GW$1,IF(D46=Data!$FF$36,Data!$FZ$13,IF(D46=Data!$FF$37,Data!$GS$12,IF(D46=Data!$FF$38,Data!$GX$12)))))))))))))))))))))))))))))))))))))</f>
        <v>0</v>
      </c>
      <c r="BA29" s="65"/>
      <c r="BC29" s="65"/>
      <c r="BE29" s="65"/>
      <c r="BI29" s="65"/>
      <c r="BJ29" s="54"/>
      <c r="BU29" s="65"/>
      <c r="BV29" s="65"/>
      <c r="BZ29" s="65"/>
      <c r="CE29" s="65"/>
      <c r="CF29" s="65"/>
      <c r="CI29" s="65"/>
      <c r="CJ29" s="65"/>
      <c r="CK29" s="65"/>
      <c r="CO29" s="278"/>
      <c r="CP29" s="65"/>
      <c r="CQ29" s="65"/>
      <c r="CR29" s="65"/>
      <c r="CS29" s="65"/>
      <c r="CT29" s="54"/>
      <c r="CU29" s="65"/>
      <c r="CW29" s="65"/>
      <c r="CX29" s="65"/>
      <c r="DF29" s="65"/>
      <c r="DI29" s="65"/>
      <c r="DL29" s="54"/>
      <c r="DW29" s="65"/>
      <c r="DX29" s="65"/>
      <c r="DY29" s="65"/>
    </row>
    <row r="30" spans="1:154" ht="18" customHeight="1">
      <c r="A30" s="125">
        <v>5</v>
      </c>
      <c r="B30" s="740"/>
      <c r="C30" s="740"/>
      <c r="D30" s="740"/>
      <c r="E30" s="740"/>
      <c r="F30" s="718"/>
      <c r="G30" s="718"/>
      <c r="H30" s="718"/>
      <c r="I30" s="718"/>
      <c r="J30" s="752"/>
      <c r="K30" s="740"/>
      <c r="L30" s="740"/>
      <c r="M30" s="740"/>
      <c r="N30" s="740"/>
      <c r="O30" s="740"/>
      <c r="P30" s="740"/>
      <c r="Q30" s="740"/>
      <c r="R30" s="740"/>
      <c r="S30" s="740"/>
      <c r="T30" s="740"/>
      <c r="U30" s="756"/>
      <c r="V30" s="757"/>
      <c r="W30" s="757"/>
      <c r="X30" s="757"/>
      <c r="Y30" s="757"/>
      <c r="Z30" s="757"/>
      <c r="AA30" s="757"/>
      <c r="AB30" s="757"/>
      <c r="AC30" s="757"/>
      <c r="AD30" s="758"/>
      <c r="AE30" s="57"/>
      <c r="AF30" s="57"/>
      <c r="AG30" s="83"/>
      <c r="AZ30" s="346" t="b">
        <f>IF(D47=Data!$FF$2,Data!$FS$1,IF(D47=Data!$FF$3,Data!$FT$1,IF(D47=Data!$FF$4,Data!$FU$1,IF(D47=Data!$FF$5,Data!$FV$1,IF(D47=Data!$FF$6,Data!$FR$1,IF(D47=Data!$FF$7,Data!$FW$1,IF(D47=Data!$FF$8,Data!$FX$1,IF(D47=Data!$FF$9,Data!$FY$1,IF(D47=Data!$FF$10,Data!$FZ$1,IF(D47=Data!$FF$11,Data!$GY$1,IF(D47=Data!$FF$12,Data!$GZ$1,IF(D47=Data!$FF$13,Data!$GX$1,IF(D47=Data!$FF$14,Data!$GA$1,IF(D47=Data!$FF$15,Data!$GB$1,IF(D47=Data!$FF$16,Data!$GC$1,IF(D47=Data!$FF$17,Data!$GD$1,IF(D47=Data!$FF$18,Data!$GE$1,IF(D47=Data!$FF$19,Data!$GF$1,IF(D47=Data!$FF$20,Data!$GG$1,IF(D47=Data!$FF$21,Data!$GH$1,IF(D47=Data!$FF$22,Data!$GI$1,IF(D47=Data!$FF$23,Data!$GJ$1,IF(D47=Data!$FF$24,Data!$GK$1,IF(D47=Data!$FF$25,Data!$GL$1,IF(D47=Data!$FF$26,Data!$GM$1,IF(D47=Data!$FF$27,Data!$GN$1,IF(D47=Data!$FF$28,Data!$GP$1,IF(D47=Data!$FF$29,Data!$GQ$1,IF(D47=Data!$FF$30,Data!$GR$1,IF(D47=Data!$FF$31,Data!$GS$1,IF(D47=Data!$FF$32,Data!$GT$1,IF(D47=Data!$FF$33,Data!$GU$1,IF(D47=Data!$FF$34,Data!$GV$1,IF(D47=Data!$FF$35,Data!$GW$1,IF(D47=Data!$FF$36,Data!$FZ$13,IF(D47=Data!$FF$37,Data!$GS$12,IF(D47=Data!$FF$38,Data!$GX$12)))))))))))))))))))))))))))))))))))))</f>
        <v>0</v>
      </c>
      <c r="BA30" s="65"/>
      <c r="BC30" s="65"/>
      <c r="BE30" s="65"/>
      <c r="BI30" s="65"/>
      <c r="BJ30" s="54"/>
      <c r="BU30" s="65"/>
      <c r="BV30" s="65"/>
      <c r="BZ30" s="65"/>
      <c r="CE30" s="65"/>
      <c r="CF30" s="65"/>
      <c r="CI30" s="65"/>
      <c r="CJ30" s="65"/>
      <c r="CK30" s="65"/>
      <c r="CO30" s="278"/>
      <c r="CP30" s="65"/>
      <c r="CQ30" s="65"/>
      <c r="CR30" s="65"/>
      <c r="CS30" s="65"/>
      <c r="CT30" s="54"/>
      <c r="CU30" s="65"/>
      <c r="CW30" s="65"/>
      <c r="CX30" s="65"/>
      <c r="DF30" s="65"/>
      <c r="DI30" s="65"/>
      <c r="DL30" s="54"/>
      <c r="DW30" s="65"/>
      <c r="DX30" s="65"/>
      <c r="DY30" s="65"/>
    </row>
    <row r="31" spans="1:154" ht="18" customHeight="1">
      <c r="A31" s="125">
        <v>6</v>
      </c>
      <c r="B31" s="740"/>
      <c r="C31" s="740"/>
      <c r="D31" s="740"/>
      <c r="E31" s="740"/>
      <c r="F31" s="718"/>
      <c r="G31" s="718"/>
      <c r="H31" s="718"/>
      <c r="I31" s="718"/>
      <c r="J31" s="752"/>
      <c r="K31" s="740"/>
      <c r="L31" s="740"/>
      <c r="M31" s="740"/>
      <c r="N31" s="740"/>
      <c r="O31" s="740"/>
      <c r="P31" s="740"/>
      <c r="Q31" s="740"/>
      <c r="R31" s="740"/>
      <c r="S31" s="740"/>
      <c r="T31" s="740"/>
      <c r="U31" s="756"/>
      <c r="V31" s="757"/>
      <c r="W31" s="757"/>
      <c r="X31" s="757"/>
      <c r="Y31" s="757"/>
      <c r="Z31" s="757"/>
      <c r="AA31" s="757"/>
      <c r="AB31" s="757"/>
      <c r="AC31" s="757"/>
      <c r="AD31" s="758"/>
      <c r="AE31" s="57"/>
      <c r="AF31" s="57"/>
      <c r="AG31" s="83"/>
      <c r="AZ31" s="346" t="b">
        <f>IF(D48=Data!$FF$2,Data!$FS$1,IF(D48=Data!$FF$3,Data!$FT$1,IF(D48=Data!$FF$4,Data!$FU$1,IF(D48=Data!$FF$5,Data!$FV$1,IF(D48=Data!$FF$6,Data!$FR$1,IF(D48=Data!$FF$7,Data!$FW$1,IF(D48=Data!$FF$8,Data!$FX$1,IF(D48=Data!$FF$9,Data!$FY$1,IF(D48=Data!$FF$10,Data!$FZ$1,IF(D48=Data!$FF$11,Data!$GY$1,IF(D48=Data!$FF$12,Data!$GZ$1,IF(D48=Data!$FF$13,Data!$GX$1,IF(D48=Data!$FF$14,Data!$GA$1,IF(D48=Data!$FF$15,Data!$GB$1,IF(D48=Data!$FF$16,Data!$GC$1,IF(D48=Data!$FF$17,Data!$GD$1,IF(D48=Data!$FF$18,Data!$GE$1,IF(D48=Data!$FF$19,Data!$GF$1,IF(D48=Data!$FF$20,Data!$GG$1,IF(D48=Data!$FF$21,Data!$GH$1,IF(D48=Data!$FF$22,Data!$GI$1,IF(D48=Data!$FF$23,Data!$GJ$1,IF(D48=Data!$FF$24,Data!$GK$1,IF(D48=Data!$FF$25,Data!$GL$1,IF(D48=Data!$FF$26,Data!$GM$1,IF(D48=Data!$FF$27,Data!$GN$1,IF(D48=Data!$FF$28,Data!$GP$1,IF(D48=Data!$FF$29,Data!$GQ$1,IF(D48=Data!$FF$30,Data!$GR$1,IF(D48=Data!$FF$31,Data!$GS$1,IF(D48=Data!$FF$32,Data!$GT$1,IF(D48=Data!$FF$33,Data!$GU$1,IF(D48=Data!$FF$34,Data!$GV$1,IF(D48=Data!$FF$35,Data!$GW$1,IF(D48=Data!$FF$36,Data!$FZ$13,IF(D48=Data!$FF$37,Data!$GS$12,IF(D48=Data!$FF$38,Data!$GX$12)))))))))))))))))))))))))))))))))))))</f>
        <v>0</v>
      </c>
      <c r="BA31" s="65"/>
      <c r="BC31" s="65"/>
      <c r="BE31" s="65"/>
      <c r="BI31" s="65"/>
      <c r="BJ31" s="54"/>
      <c r="BU31" s="65"/>
      <c r="BV31" s="65"/>
      <c r="BZ31" s="65"/>
      <c r="CE31" s="65"/>
      <c r="CF31" s="65"/>
      <c r="CI31" s="65"/>
      <c r="CJ31" s="65"/>
      <c r="CK31" s="65"/>
      <c r="CO31" s="278"/>
      <c r="CP31" s="65"/>
      <c r="CQ31" s="65"/>
      <c r="CR31" s="65"/>
      <c r="CS31" s="65"/>
      <c r="CT31" s="54"/>
      <c r="CU31" s="65"/>
      <c r="CW31" s="65"/>
      <c r="CX31" s="65"/>
      <c r="DF31" s="65"/>
      <c r="DI31" s="65"/>
      <c r="DL31" s="54"/>
      <c r="DW31" s="65"/>
      <c r="DX31" s="65"/>
      <c r="DY31" s="65"/>
    </row>
    <row r="32" spans="1:154" ht="18" customHeight="1">
      <c r="A32" s="125">
        <v>7</v>
      </c>
      <c r="B32" s="740"/>
      <c r="C32" s="740"/>
      <c r="D32" s="740"/>
      <c r="E32" s="740"/>
      <c r="F32" s="718"/>
      <c r="G32" s="718"/>
      <c r="H32" s="718"/>
      <c r="I32" s="718"/>
      <c r="J32" s="752"/>
      <c r="K32" s="740"/>
      <c r="L32" s="740"/>
      <c r="M32" s="740"/>
      <c r="N32" s="740"/>
      <c r="O32" s="740"/>
      <c r="P32" s="740"/>
      <c r="Q32" s="740"/>
      <c r="R32" s="740"/>
      <c r="S32" s="740"/>
      <c r="T32" s="740"/>
      <c r="U32" s="756"/>
      <c r="V32" s="757"/>
      <c r="W32" s="757"/>
      <c r="X32" s="757"/>
      <c r="Y32" s="757"/>
      <c r="Z32" s="757"/>
      <c r="AA32" s="757"/>
      <c r="AB32" s="757"/>
      <c r="AC32" s="757"/>
      <c r="AD32" s="758"/>
      <c r="AE32" s="57"/>
      <c r="AF32" s="57"/>
      <c r="AG32" s="83"/>
      <c r="AZ32" s="346" t="b">
        <f>IF(D49=Data!$FF$2,Data!$FS$1,IF(D49=Data!$FF$3,Data!$FT$1,IF(D49=Data!$FF$4,Data!$FU$1,IF(D49=Data!$FF$5,Data!$FV$1,IF(D49=Data!$FF$6,Data!$FR$1,IF(D49=Data!$FF$7,Data!$FW$1,IF(D49=Data!$FF$8,Data!$FX$1,IF(D49=Data!$FF$9,Data!$FY$1,IF(D49=Data!$FF$10,Data!$FZ$1,IF(D49=Data!$FF$11,Data!$GY$1,IF(D49=Data!$FF$12,Data!$GZ$1,IF(D49=Data!$FF$13,Data!$GX$1,IF(D49=Data!$FF$14,Data!$GA$1,IF(D49=Data!$FF$15,Data!$GB$1,IF(D49=Data!$FF$16,Data!$GC$1,IF(D49=Data!$FF$17,Data!$GD$1,IF(D49=Data!$FF$18,Data!$GE$1,IF(D49=Data!$FF$19,Data!$GF$1,IF(D49=Data!$FF$20,Data!$GG$1,IF(D49=Data!$FF$21,Data!$GH$1,IF(D49=Data!$FF$22,Data!$GI$1,IF(D49=Data!$FF$23,Data!$GJ$1,IF(D49=Data!$FF$24,Data!$GK$1,IF(D49=Data!$FF$25,Data!$GL$1,IF(D49=Data!$FF$26,Data!$GM$1,IF(D49=Data!$FF$27,Data!$GN$1,IF(D49=Data!$FF$28,Data!$GP$1,IF(D49=Data!$FF$29,Data!$GQ$1,IF(D49=Data!$FF$30,Data!$GR$1,IF(D49=Data!$FF$31,Data!$GS$1,IF(D49=Data!$FF$32,Data!$GT$1,IF(D49=Data!$FF$33,Data!$GU$1,IF(D49=Data!$FF$34,Data!$GV$1,IF(D49=Data!$FF$35,Data!$GW$1,IF(D49=Data!$FF$36,Data!$FZ$13,IF(D49=Data!$FF$37,Data!$GS$12,IF(D49=Data!$FF$38,Data!$GX$12)))))))))))))))))))))))))))))))))))))</f>
        <v>0</v>
      </c>
      <c r="BA32" s="65"/>
      <c r="BC32" s="65"/>
      <c r="BE32" s="65"/>
      <c r="BI32" s="65"/>
      <c r="BJ32" s="54"/>
      <c r="BU32" s="65"/>
      <c r="BV32" s="65"/>
      <c r="BZ32" s="65"/>
      <c r="CE32" s="65"/>
      <c r="CF32" s="65"/>
      <c r="CI32" s="65"/>
      <c r="CJ32" s="65"/>
      <c r="CK32" s="65"/>
      <c r="CO32" s="278"/>
      <c r="CP32" s="65"/>
      <c r="CQ32" s="65"/>
      <c r="CR32" s="65"/>
      <c r="CS32" s="65"/>
      <c r="CT32" s="54"/>
      <c r="CU32" s="65"/>
      <c r="CW32" s="65"/>
      <c r="CX32" s="65"/>
      <c r="DF32" s="65"/>
      <c r="DI32" s="65"/>
      <c r="DL32" s="54"/>
      <c r="DW32" s="65"/>
      <c r="DX32" s="65"/>
      <c r="DY32" s="65"/>
    </row>
    <row r="33" spans="1:129" ht="18" customHeight="1">
      <c r="A33" s="125">
        <v>8</v>
      </c>
      <c r="B33" s="740"/>
      <c r="C33" s="740"/>
      <c r="D33" s="740"/>
      <c r="E33" s="740"/>
      <c r="F33" s="718"/>
      <c r="G33" s="718"/>
      <c r="H33" s="718"/>
      <c r="I33" s="718"/>
      <c r="J33" s="752"/>
      <c r="K33" s="740"/>
      <c r="L33" s="740"/>
      <c r="M33" s="740"/>
      <c r="N33" s="740"/>
      <c r="O33" s="740"/>
      <c r="P33" s="740"/>
      <c r="Q33" s="740"/>
      <c r="R33" s="740"/>
      <c r="S33" s="740"/>
      <c r="T33" s="740"/>
      <c r="U33" s="756"/>
      <c r="V33" s="757"/>
      <c r="W33" s="757"/>
      <c r="X33" s="757"/>
      <c r="Y33" s="757"/>
      <c r="Z33" s="757"/>
      <c r="AA33" s="757"/>
      <c r="AB33" s="757"/>
      <c r="AC33" s="757"/>
      <c r="AD33" s="758"/>
      <c r="AE33" s="57"/>
      <c r="AF33" s="57"/>
      <c r="AG33" s="83"/>
      <c r="AZ33" s="346" t="b">
        <f>IF(D50=Data!$FF$2,Data!$FS$1,IF(D50=Data!$FF$3,Data!$FT$1,IF(D50=Data!$FF$4,Data!$FU$1,IF(D50=Data!$FF$5,Data!$FV$1,IF(D50=Data!$FF$6,Data!$FR$1,IF(D50=Data!$FF$7,Data!$FW$1,IF(D50=Data!$FF$8,Data!$FX$1,IF(D50=Data!$FF$9,Data!$FY$1,IF(D50=Data!$FF$10,Data!$FZ$1,IF(D50=Data!$FF$11,Data!$GY$1,IF(D50=Data!$FF$12,Data!$GZ$1,IF(D50=Data!$FF$13,Data!$GX$1,IF(D50=Data!$FF$14,Data!$GA$1,IF(D50=Data!$FF$15,Data!$GB$1,IF(D50=Data!$FF$16,Data!$GC$1,IF(D50=Data!$FF$17,Data!$GD$1,IF(D50=Data!$FF$18,Data!$GE$1,IF(D50=Data!$FF$19,Data!$GF$1,IF(D50=Data!$FF$20,Data!$GG$1,IF(D50=Data!$FF$21,Data!$GH$1,IF(D50=Data!$FF$22,Data!$GI$1,IF(D50=Data!$FF$23,Data!$GJ$1,IF(D50=Data!$FF$24,Data!$GK$1,IF(D50=Data!$FF$25,Data!$GL$1,IF(D50=Data!$FF$26,Data!$GM$1,IF(D50=Data!$FF$27,Data!$GN$1,IF(D50=Data!$FF$28,Data!$GP$1,IF(D50=Data!$FF$29,Data!$GQ$1,IF(D50=Data!$FF$30,Data!$GR$1,IF(D50=Data!$FF$31,Data!$GS$1,IF(D50=Data!$FF$32,Data!$GT$1,IF(D50=Data!$FF$33,Data!$GU$1,IF(D50=Data!$FF$34,Data!$GV$1,IF(D50=Data!$FF$35,Data!$GW$1,IF(D50=Data!$FF$36,Data!$FZ$13,IF(D50=Data!$FF$37,Data!$GS$12,IF(D50=Data!$FF$38,Data!$GX$12)))))))))))))))))))))))))))))))))))))</f>
        <v>0</v>
      </c>
      <c r="BA33" s="65"/>
      <c r="BC33" s="65"/>
      <c r="BE33" s="65"/>
      <c r="BI33" s="65"/>
      <c r="BJ33" s="54"/>
      <c r="BU33" s="65"/>
      <c r="BV33" s="65"/>
      <c r="BZ33" s="65"/>
      <c r="CE33" s="65"/>
      <c r="CF33" s="65"/>
      <c r="CI33" s="65"/>
      <c r="CJ33" s="65"/>
      <c r="CK33" s="65"/>
      <c r="CO33" s="278"/>
      <c r="CP33" s="65"/>
      <c r="CQ33" s="65"/>
      <c r="CR33" s="65"/>
      <c r="CS33" s="65"/>
      <c r="CT33" s="54"/>
      <c r="CU33" s="65"/>
      <c r="CW33" s="65"/>
      <c r="CX33" s="65"/>
      <c r="DF33" s="65"/>
      <c r="DI33" s="65"/>
      <c r="DL33" s="54"/>
      <c r="DW33" s="65"/>
      <c r="DX33" s="65"/>
      <c r="DY33" s="65"/>
    </row>
    <row r="34" spans="1:129" ht="18" customHeight="1">
      <c r="A34" s="125">
        <v>9</v>
      </c>
      <c r="B34" s="740"/>
      <c r="C34" s="740"/>
      <c r="D34" s="740"/>
      <c r="E34" s="740"/>
      <c r="F34" s="718"/>
      <c r="G34" s="718"/>
      <c r="H34" s="718"/>
      <c r="I34" s="718"/>
      <c r="J34" s="752"/>
      <c r="K34" s="740"/>
      <c r="L34" s="740"/>
      <c r="M34" s="740"/>
      <c r="N34" s="740"/>
      <c r="O34" s="740"/>
      <c r="P34" s="740"/>
      <c r="Q34" s="740"/>
      <c r="R34" s="740"/>
      <c r="S34" s="740"/>
      <c r="T34" s="740"/>
      <c r="U34" s="756"/>
      <c r="V34" s="757"/>
      <c r="W34" s="757"/>
      <c r="X34" s="757"/>
      <c r="Y34" s="757"/>
      <c r="Z34" s="757"/>
      <c r="AA34" s="757"/>
      <c r="AB34" s="757"/>
      <c r="AC34" s="757"/>
      <c r="AD34" s="758"/>
      <c r="AE34" s="57"/>
      <c r="AF34" s="57"/>
      <c r="AG34" s="83"/>
      <c r="AZ34" s="346" t="b">
        <f>IF(D51=Data!$FF$2,Data!$FS$1,IF(D51=Data!$FF$3,Data!$FT$1,IF(D51=Data!$FF$4,Data!$FU$1,IF(D51=Data!$FF$5,Data!$FV$1,IF(D51=Data!$FF$6,Data!$FR$1,IF(D51=Data!$FF$7,Data!$FW$1,IF(D51=Data!$FF$8,Data!$FX$1,IF(D51=Data!$FF$9,Data!$FY$1,IF(D51=Data!$FF$10,Data!$FZ$1,IF(D51=Data!$FF$11,Data!$GY$1,IF(D51=Data!$FF$12,Data!$GZ$1,IF(D51=Data!$FF$13,Data!$GX$1,IF(D51=Data!$FF$14,Data!$GA$1,IF(D51=Data!$FF$15,Data!$GB$1,IF(D51=Data!$FF$16,Data!$GC$1,IF(D51=Data!$FF$17,Data!$GD$1,IF(D51=Data!$FF$18,Data!$GE$1,IF(D51=Data!$FF$19,Data!$GF$1,IF(D51=Data!$FF$20,Data!$GG$1,IF(D51=Data!$FF$21,Data!$GH$1,IF(D51=Data!$FF$22,Data!$GI$1,IF(D51=Data!$FF$23,Data!$GJ$1,IF(D51=Data!$FF$24,Data!$GK$1,IF(D51=Data!$FF$25,Data!$GL$1,IF(D51=Data!$FF$26,Data!$GM$1,IF(D51=Data!$FF$27,Data!$GN$1,IF(D51=Data!$FF$28,Data!$GP$1,IF(D51=Data!$FF$29,Data!$GQ$1,IF(D51=Data!$FF$30,Data!$GR$1,IF(D51=Data!$FF$31,Data!$GS$1,IF(D51=Data!$FF$32,Data!$GT$1,IF(D51=Data!$FF$33,Data!$GU$1,IF(D51=Data!$FF$34,Data!$GV$1,IF(D51=Data!$FF$35,Data!$GW$1,IF(D51=Data!$FF$36,Data!$FZ$13,IF(D51=Data!$FF$37,Data!$GS$12,IF(D51=Data!$FF$38,Data!$GX$12)))))))))))))))))))))))))))))))))))))</f>
        <v>0</v>
      </c>
      <c r="BA34" s="65"/>
      <c r="BC34" s="65"/>
      <c r="BE34" s="65"/>
      <c r="BI34" s="65"/>
      <c r="BJ34" s="54"/>
      <c r="BU34" s="65"/>
      <c r="BV34" s="65"/>
      <c r="BZ34" s="65"/>
      <c r="CE34" s="65"/>
      <c r="CF34" s="65"/>
      <c r="CI34" s="65"/>
      <c r="CJ34" s="65"/>
      <c r="CK34" s="65"/>
      <c r="CO34" s="278"/>
      <c r="CP34" s="65"/>
      <c r="CQ34" s="65"/>
      <c r="CR34" s="65"/>
      <c r="CS34" s="65"/>
      <c r="CT34" s="54"/>
      <c r="CU34" s="65"/>
      <c r="CW34" s="65"/>
      <c r="CX34" s="65"/>
      <c r="DF34" s="65"/>
      <c r="DI34" s="65"/>
      <c r="DL34" s="54"/>
      <c r="DW34" s="65"/>
      <c r="DX34" s="65"/>
      <c r="DY34" s="65"/>
    </row>
    <row r="35" spans="1:129" ht="18" customHeight="1">
      <c r="A35" s="125">
        <v>10</v>
      </c>
      <c r="B35" s="740"/>
      <c r="C35" s="740"/>
      <c r="D35" s="740"/>
      <c r="E35" s="740"/>
      <c r="F35" s="718"/>
      <c r="G35" s="718"/>
      <c r="H35" s="718"/>
      <c r="I35" s="718"/>
      <c r="J35" s="752"/>
      <c r="K35" s="740"/>
      <c r="L35" s="740"/>
      <c r="M35" s="740"/>
      <c r="N35" s="740"/>
      <c r="O35" s="740"/>
      <c r="P35" s="740"/>
      <c r="Q35" s="740"/>
      <c r="R35" s="740"/>
      <c r="S35" s="740"/>
      <c r="T35" s="740"/>
      <c r="U35" s="756"/>
      <c r="V35" s="757"/>
      <c r="W35" s="757"/>
      <c r="X35" s="757"/>
      <c r="Y35" s="757"/>
      <c r="Z35" s="757"/>
      <c r="AA35" s="757"/>
      <c r="AB35" s="757"/>
      <c r="AC35" s="757"/>
      <c r="AD35" s="758"/>
      <c r="AE35" s="57"/>
      <c r="AF35" s="57"/>
      <c r="AG35" s="83"/>
      <c r="AZ35" s="346" t="b">
        <f>IF(D52=Data!$FF$2,Data!$FS$1,IF(D52=Data!$FF$3,Data!$FT$1,IF(D52=Data!$FF$4,Data!$FU$1,IF(D52=Data!$FF$5,Data!$FV$1,IF(D52=Data!$FF$6,Data!$FR$1,IF(D52=Data!$FF$7,Data!$FW$1,IF(D52=Data!$FF$8,Data!$FX$1,IF(D52=Data!$FF$9,Data!$FY$1,IF(D52=Data!$FF$10,Data!$FZ$1,IF(D52=Data!$FF$11,Data!$GY$1,IF(D52=Data!$FF$12,Data!$GZ$1,IF(D52=Data!$FF$13,Data!$GX$1,IF(D52=Data!$FF$14,Data!$GA$1,IF(D52=Data!$FF$15,Data!$GB$1,IF(D52=Data!$FF$16,Data!$GC$1,IF(D52=Data!$FF$17,Data!$GD$1,IF(D52=Data!$FF$18,Data!$GE$1,IF(D52=Data!$FF$19,Data!$GF$1,IF(D52=Data!$FF$20,Data!$GG$1,IF(D52=Data!$FF$21,Data!$GH$1,IF(D52=Data!$FF$22,Data!$GI$1,IF(D52=Data!$FF$23,Data!$GJ$1,IF(D52=Data!$FF$24,Data!$GK$1,IF(D52=Data!$FF$25,Data!$GL$1,IF(D52=Data!$FF$26,Data!$GM$1,IF(D52=Data!$FF$27,Data!$GN$1,IF(D52=Data!$FF$28,Data!$GP$1,IF(D52=Data!$FF$29,Data!$GQ$1,IF(D52=Data!$FF$30,Data!$GR$1,IF(D52=Data!$FF$31,Data!$GS$1,IF(D52=Data!$FF$32,Data!$GT$1,IF(D52=Data!$FF$33,Data!$GU$1,IF(D52=Data!$FF$34,Data!$GV$1,IF(D52=Data!$FF$35,Data!$GW$1,IF(D52=Data!$FF$36,Data!$FZ$13,IF(D52=Data!$FF$37,Data!$GS$12,IF(D52=Data!$FF$38,Data!$GX$12)))))))))))))))))))))))))))))))))))))</f>
        <v>0</v>
      </c>
      <c r="BA35" s="65"/>
      <c r="BC35" s="65"/>
      <c r="BE35" s="65"/>
      <c r="BI35" s="65"/>
      <c r="BJ35" s="54"/>
      <c r="BU35" s="65"/>
      <c r="BV35" s="65"/>
      <c r="BZ35" s="65"/>
      <c r="CE35" s="65"/>
      <c r="CF35" s="65"/>
      <c r="CI35" s="65"/>
      <c r="CJ35" s="65"/>
      <c r="CK35" s="65"/>
      <c r="CO35" s="278"/>
      <c r="CP35" s="65"/>
      <c r="CQ35" s="65"/>
      <c r="CR35" s="65"/>
      <c r="CS35" s="65"/>
      <c r="CT35" s="54"/>
      <c r="CU35" s="65"/>
      <c r="CW35" s="65"/>
      <c r="CX35" s="65"/>
      <c r="DF35" s="65"/>
      <c r="DI35" s="65"/>
      <c r="DL35" s="54"/>
      <c r="DW35" s="65"/>
      <c r="DX35" s="65"/>
      <c r="DY35" s="65"/>
    </row>
    <row r="36" spans="1:129" ht="18" customHeight="1">
      <c r="A36" s="125">
        <v>11</v>
      </c>
      <c r="B36" s="740"/>
      <c r="C36" s="740"/>
      <c r="D36" s="740"/>
      <c r="E36" s="740"/>
      <c r="F36" s="718"/>
      <c r="G36" s="718"/>
      <c r="H36" s="718"/>
      <c r="I36" s="718"/>
      <c r="J36" s="752"/>
      <c r="K36" s="740"/>
      <c r="L36" s="740"/>
      <c r="M36" s="740"/>
      <c r="N36" s="740"/>
      <c r="O36" s="740"/>
      <c r="P36" s="740"/>
      <c r="Q36" s="740"/>
      <c r="R36" s="740"/>
      <c r="S36" s="740"/>
      <c r="T36" s="740"/>
      <c r="U36" s="756"/>
      <c r="V36" s="757"/>
      <c r="W36" s="757"/>
      <c r="X36" s="757"/>
      <c r="Y36" s="757"/>
      <c r="Z36" s="757"/>
      <c r="AA36" s="757"/>
      <c r="AB36" s="757"/>
      <c r="AC36" s="757"/>
      <c r="AD36" s="758"/>
      <c r="AE36" s="57"/>
      <c r="AF36" s="57"/>
      <c r="AG36" s="83"/>
      <c r="BA36" s="65"/>
      <c r="BC36" s="65"/>
      <c r="BE36" s="65"/>
      <c r="BI36" s="65"/>
      <c r="BJ36" s="54"/>
      <c r="BU36" s="65"/>
      <c r="BV36" s="65"/>
      <c r="BZ36" s="65"/>
      <c r="CE36" s="65"/>
      <c r="CF36" s="65"/>
      <c r="CI36" s="65"/>
      <c r="CJ36" s="65"/>
      <c r="CK36" s="65"/>
      <c r="CO36" s="278"/>
      <c r="CP36" s="65"/>
      <c r="CQ36" s="65"/>
      <c r="CR36" s="65"/>
      <c r="CS36" s="65"/>
      <c r="CT36" s="54"/>
      <c r="CU36" s="65"/>
      <c r="CW36" s="65"/>
      <c r="CX36" s="65"/>
      <c r="DF36" s="65"/>
      <c r="DI36" s="65"/>
      <c r="DL36" s="54"/>
      <c r="DW36" s="65"/>
      <c r="DX36" s="65"/>
      <c r="DY36" s="65"/>
    </row>
    <row r="37" spans="1:129" ht="18" customHeight="1">
      <c r="A37" s="125">
        <v>12</v>
      </c>
      <c r="B37" s="740"/>
      <c r="C37" s="740"/>
      <c r="D37" s="740"/>
      <c r="E37" s="740"/>
      <c r="F37" s="718"/>
      <c r="G37" s="718"/>
      <c r="H37" s="718"/>
      <c r="I37" s="718"/>
      <c r="J37" s="752"/>
      <c r="K37" s="740"/>
      <c r="L37" s="740"/>
      <c r="M37" s="740"/>
      <c r="N37" s="740"/>
      <c r="O37" s="740"/>
      <c r="P37" s="740"/>
      <c r="Q37" s="740"/>
      <c r="R37" s="740"/>
      <c r="S37" s="740"/>
      <c r="T37" s="740"/>
      <c r="U37" s="756"/>
      <c r="V37" s="757"/>
      <c r="W37" s="757"/>
      <c r="X37" s="757"/>
      <c r="Y37" s="757"/>
      <c r="Z37" s="757"/>
      <c r="AA37" s="757"/>
      <c r="AB37" s="757"/>
      <c r="AC37" s="757"/>
      <c r="AD37" s="758"/>
      <c r="AE37" s="57"/>
      <c r="AF37" s="57"/>
      <c r="AG37" s="83"/>
      <c r="BA37" s="65"/>
      <c r="BC37" s="65"/>
      <c r="BE37" s="65"/>
      <c r="BI37" s="65"/>
      <c r="BJ37" s="54"/>
      <c r="BU37" s="65"/>
      <c r="BV37" s="65"/>
      <c r="BZ37" s="65"/>
      <c r="CE37" s="65"/>
      <c r="CF37" s="65"/>
      <c r="CI37" s="65"/>
      <c r="CJ37" s="65"/>
      <c r="CK37" s="65"/>
      <c r="CO37" s="278"/>
      <c r="CP37" s="65"/>
      <c r="CQ37" s="65"/>
      <c r="CR37" s="65"/>
      <c r="CS37" s="65"/>
      <c r="CT37" s="54"/>
      <c r="CU37" s="65"/>
      <c r="CW37" s="65"/>
      <c r="CX37" s="65"/>
      <c r="DF37" s="65"/>
      <c r="DI37" s="65"/>
      <c r="DL37" s="54"/>
      <c r="DW37" s="65"/>
      <c r="DX37" s="65"/>
      <c r="DY37" s="65"/>
    </row>
    <row r="38" spans="1:129" ht="18" customHeight="1">
      <c r="A38" s="125">
        <v>13</v>
      </c>
      <c r="B38" s="740"/>
      <c r="C38" s="740"/>
      <c r="D38" s="740"/>
      <c r="E38" s="740"/>
      <c r="F38" s="718"/>
      <c r="G38" s="718"/>
      <c r="H38" s="718"/>
      <c r="I38" s="718"/>
      <c r="J38" s="752"/>
      <c r="K38" s="740"/>
      <c r="L38" s="740"/>
      <c r="M38" s="740"/>
      <c r="N38" s="740"/>
      <c r="O38" s="740"/>
      <c r="P38" s="740"/>
      <c r="Q38" s="740"/>
      <c r="R38" s="740"/>
      <c r="S38" s="740"/>
      <c r="T38" s="740"/>
      <c r="U38" s="756"/>
      <c r="V38" s="757"/>
      <c r="W38" s="757"/>
      <c r="X38" s="757"/>
      <c r="Y38" s="757"/>
      <c r="Z38" s="757"/>
      <c r="AA38" s="757"/>
      <c r="AB38" s="757"/>
      <c r="AC38" s="757"/>
      <c r="AD38" s="758"/>
      <c r="AE38" s="57"/>
      <c r="AF38" s="57"/>
      <c r="AG38" s="83"/>
      <c r="BA38" s="65"/>
      <c r="BC38" s="65"/>
      <c r="BE38" s="65"/>
      <c r="BI38" s="65"/>
      <c r="BJ38" s="54"/>
      <c r="BU38" s="65"/>
      <c r="BV38" s="65"/>
      <c r="BZ38" s="65"/>
      <c r="CE38" s="65"/>
      <c r="CF38" s="65"/>
      <c r="CI38" s="65"/>
      <c r="CJ38" s="65"/>
      <c r="CK38" s="65"/>
      <c r="CO38" s="278"/>
      <c r="CP38" s="65"/>
      <c r="CQ38" s="65"/>
      <c r="CR38" s="65"/>
      <c r="CS38" s="65"/>
      <c r="CT38" s="54"/>
      <c r="CU38" s="65"/>
      <c r="CW38" s="65"/>
      <c r="CX38" s="65"/>
      <c r="DF38" s="65"/>
      <c r="DI38" s="65"/>
      <c r="DL38" s="54"/>
      <c r="DW38" s="65"/>
      <c r="DX38" s="65"/>
      <c r="DY38" s="65"/>
    </row>
    <row r="39" spans="1:129" ht="18" customHeight="1">
      <c r="A39" s="125">
        <v>14</v>
      </c>
      <c r="B39" s="740"/>
      <c r="C39" s="740"/>
      <c r="D39" s="740"/>
      <c r="E39" s="740"/>
      <c r="F39" s="718"/>
      <c r="G39" s="718"/>
      <c r="H39" s="718"/>
      <c r="I39" s="718"/>
      <c r="J39" s="752"/>
      <c r="K39" s="740"/>
      <c r="L39" s="740"/>
      <c r="M39" s="740"/>
      <c r="N39" s="740"/>
      <c r="O39" s="740"/>
      <c r="P39" s="740"/>
      <c r="Q39" s="740"/>
      <c r="R39" s="740"/>
      <c r="S39" s="740"/>
      <c r="T39" s="740"/>
      <c r="U39" s="756"/>
      <c r="V39" s="757"/>
      <c r="W39" s="757"/>
      <c r="X39" s="757"/>
      <c r="Y39" s="757"/>
      <c r="Z39" s="757"/>
      <c r="AA39" s="757"/>
      <c r="AB39" s="757"/>
      <c r="AC39" s="757"/>
      <c r="AD39" s="758"/>
      <c r="AE39" s="57"/>
      <c r="AF39" s="57"/>
      <c r="AG39" s="83"/>
      <c r="BA39" s="65"/>
      <c r="BC39" s="65"/>
      <c r="BE39" s="65"/>
      <c r="BI39" s="65"/>
      <c r="BJ39" s="54"/>
      <c r="BU39" s="65"/>
      <c r="BV39" s="65"/>
      <c r="BZ39" s="65"/>
      <c r="CE39" s="65"/>
      <c r="CF39" s="65"/>
      <c r="CI39" s="65"/>
      <c r="CJ39" s="65"/>
      <c r="CK39" s="65"/>
      <c r="CO39" s="278"/>
      <c r="CP39" s="65"/>
      <c r="CQ39" s="65"/>
      <c r="CR39" s="65"/>
      <c r="CS39" s="65"/>
      <c r="CT39" s="54"/>
      <c r="CU39" s="65"/>
      <c r="CW39" s="65"/>
      <c r="CX39" s="65"/>
      <c r="DF39" s="65"/>
      <c r="DI39" s="65"/>
      <c r="DL39" s="54"/>
      <c r="DW39" s="65"/>
      <c r="DX39" s="65"/>
      <c r="DY39" s="65"/>
    </row>
    <row r="40" spans="1:129" ht="18" customHeight="1" thickBot="1">
      <c r="A40" s="126">
        <v>15</v>
      </c>
      <c r="B40" s="741"/>
      <c r="C40" s="741"/>
      <c r="D40" s="741"/>
      <c r="E40" s="741"/>
      <c r="F40" s="719"/>
      <c r="G40" s="719"/>
      <c r="H40" s="719"/>
      <c r="I40" s="719"/>
      <c r="J40" s="764"/>
      <c r="K40" s="741"/>
      <c r="L40" s="741"/>
      <c r="M40" s="741"/>
      <c r="N40" s="741"/>
      <c r="O40" s="741"/>
      <c r="P40" s="741"/>
      <c r="Q40" s="741"/>
      <c r="R40" s="741"/>
      <c r="S40" s="741"/>
      <c r="T40" s="741"/>
      <c r="U40" s="759"/>
      <c r="V40" s="760"/>
      <c r="W40" s="760"/>
      <c r="X40" s="760"/>
      <c r="Y40" s="760"/>
      <c r="Z40" s="760"/>
      <c r="AA40" s="760"/>
      <c r="AB40" s="760"/>
      <c r="AC40" s="760"/>
      <c r="AD40" s="761"/>
      <c r="AE40" s="57"/>
      <c r="AF40" s="57"/>
      <c r="BA40" s="65"/>
      <c r="BC40" s="65"/>
      <c r="BE40" s="65"/>
      <c r="BI40" s="65"/>
      <c r="BJ40" s="54"/>
      <c r="BU40" s="65"/>
      <c r="BV40" s="65"/>
      <c r="BZ40" s="65"/>
      <c r="CE40" s="65"/>
      <c r="CF40" s="65"/>
      <c r="CI40" s="65"/>
      <c r="CJ40" s="65"/>
      <c r="CK40" s="65"/>
      <c r="CO40" s="278"/>
      <c r="CP40" s="65"/>
      <c r="CQ40" s="65"/>
      <c r="CR40" s="65"/>
      <c r="CS40" s="65"/>
      <c r="CT40" s="54"/>
      <c r="CU40" s="65"/>
      <c r="CW40" s="65"/>
      <c r="CX40" s="65"/>
      <c r="DF40" s="65"/>
      <c r="DI40" s="65"/>
      <c r="DL40" s="54"/>
      <c r="DW40" s="65"/>
      <c r="DX40" s="65"/>
      <c r="DY40" s="65"/>
    </row>
    <row r="41" spans="1:129" ht="16.5" thickTop="1" thickBot="1">
      <c r="A41" s="84"/>
      <c r="B41" s="795" t="s">
        <v>967</v>
      </c>
      <c r="C41" s="795"/>
      <c r="D41" s="795"/>
      <c r="E41" s="795"/>
      <c r="F41" s="795"/>
      <c r="G41" s="795"/>
      <c r="H41" s="795"/>
      <c r="I41" s="795"/>
      <c r="J41" s="166"/>
      <c r="K41" s="166"/>
      <c r="L41" s="166"/>
      <c r="M41" s="166"/>
      <c r="N41" s="166"/>
      <c r="O41" s="166"/>
      <c r="P41" s="166"/>
      <c r="Q41" s="166"/>
      <c r="R41" s="123"/>
      <c r="S41" s="123"/>
      <c r="T41" s="123"/>
      <c r="U41" s="123"/>
      <c r="V41" s="123"/>
      <c r="W41" s="123"/>
      <c r="X41" s="57"/>
      <c r="Y41" s="57"/>
      <c r="Z41" s="57"/>
      <c r="AA41" s="57"/>
      <c r="AB41" s="57"/>
      <c r="AC41" s="57"/>
      <c r="AD41" s="57"/>
      <c r="AE41" s="57"/>
      <c r="AF41" s="57"/>
      <c r="AG41" s="57"/>
      <c r="BA41" s="65"/>
      <c r="BC41" s="65"/>
      <c r="BE41" s="65"/>
      <c r="BI41" s="65"/>
      <c r="BJ41" s="54"/>
      <c r="BU41" s="65"/>
      <c r="BV41" s="65"/>
      <c r="BZ41" s="65"/>
      <c r="CE41" s="65"/>
      <c r="CF41" s="65"/>
      <c r="CI41" s="65"/>
      <c r="CJ41" s="65"/>
      <c r="CK41" s="65"/>
      <c r="CO41" s="278"/>
      <c r="CP41" s="65"/>
      <c r="CQ41" s="65"/>
      <c r="CR41" s="65"/>
      <c r="CS41" s="65"/>
      <c r="CT41" s="54"/>
      <c r="CU41" s="65"/>
      <c r="CW41" s="65"/>
      <c r="CX41" s="65"/>
      <c r="DF41" s="65"/>
      <c r="DI41" s="65"/>
      <c r="DL41" s="54"/>
      <c r="DW41" s="65"/>
      <c r="DX41" s="65"/>
      <c r="DY41" s="65"/>
    </row>
    <row r="42" spans="1:129" s="185" customFormat="1" ht="30.75" thickBot="1">
      <c r="A42" s="212" t="s">
        <v>968</v>
      </c>
      <c r="B42" s="213" t="s">
        <v>726</v>
      </c>
      <c r="C42" s="214" t="s">
        <v>733</v>
      </c>
      <c r="D42" s="742" t="s">
        <v>728</v>
      </c>
      <c r="E42" s="742"/>
      <c r="F42" s="742"/>
      <c r="G42" s="742"/>
      <c r="H42" s="742"/>
      <c r="I42" s="720" t="s">
        <v>151</v>
      </c>
      <c r="J42" s="720"/>
      <c r="K42" s="716" t="s">
        <v>152</v>
      </c>
      <c r="L42" s="716"/>
      <c r="M42" s="215" t="s">
        <v>726</v>
      </c>
      <c r="N42" s="736" t="s">
        <v>727</v>
      </c>
      <c r="O42" s="737"/>
      <c r="P42" s="737"/>
      <c r="Q42" s="737"/>
      <c r="R42" s="737"/>
      <c r="S42" s="737"/>
      <c r="T42" s="738"/>
      <c r="U42" s="762" t="s">
        <v>152</v>
      </c>
      <c r="V42" s="762"/>
      <c r="W42" s="762"/>
      <c r="X42" s="762"/>
      <c r="Y42" s="762"/>
      <c r="Z42" s="730" t="s">
        <v>779</v>
      </c>
      <c r="AA42" s="730"/>
      <c r="AB42" s="730"/>
      <c r="AC42" s="730"/>
      <c r="AD42" s="731"/>
      <c r="AE42" s="216"/>
      <c r="AF42" s="216"/>
      <c r="AG42" s="216"/>
      <c r="CO42" s="345"/>
    </row>
    <row r="43" spans="1:129" ht="15" customHeight="1" thickTop="1">
      <c r="A43" s="136">
        <v>1</v>
      </c>
      <c r="B43" s="209"/>
      <c r="C43" s="140"/>
      <c r="D43" s="739"/>
      <c r="E43" s="739"/>
      <c r="F43" s="739"/>
      <c r="G43" s="739"/>
      <c r="H43" s="739"/>
      <c r="I43" s="721"/>
      <c r="J43" s="721"/>
      <c r="K43" s="717"/>
      <c r="L43" s="717"/>
      <c r="M43" s="138"/>
      <c r="N43" s="717"/>
      <c r="O43" s="717"/>
      <c r="P43" s="717"/>
      <c r="Q43" s="717"/>
      <c r="R43" s="717"/>
      <c r="S43" s="717"/>
      <c r="T43" s="717"/>
      <c r="U43" s="735"/>
      <c r="V43" s="735"/>
      <c r="W43" s="735"/>
      <c r="X43" s="735"/>
      <c r="Y43" s="735"/>
      <c r="Z43" s="732"/>
      <c r="AA43" s="733"/>
      <c r="AB43" s="733"/>
      <c r="AC43" s="733"/>
      <c r="AD43" s="734"/>
      <c r="AE43" s="57"/>
      <c r="AF43" s="57"/>
      <c r="AG43" s="57"/>
      <c r="AU43" s="85"/>
      <c r="AZ43" s="278" t="str">
        <f>IF(OR(AND(I43="Timber",D43="Large Z Frame")),"NonStandard", "Standard" )</f>
        <v>Standard</v>
      </c>
      <c r="BA43" s="278" t="str">
        <f>IF(AND(AZ43="Standard",I43="Timber"),Data!$KC$2,IF(AND(AZ43="Standard",I43="Fauxwood"),Data!$KD$2,Data!$KB$2))</f>
        <v>TimberExtrasOptionsPainted</v>
      </c>
      <c r="BB43" s="278" t="b">
        <f>IF(I43="Timber",Data!$IX$2,IF(I43="Fauxwood",Data!$IY$2))</f>
        <v>0</v>
      </c>
      <c r="BC43" s="65"/>
      <c r="BE43" s="347" t="b">
        <f>IF(N43=Data!$HX$2,Data!$HZ$2,IF(N43=Data!$HX$3,Data!$IA$2,IF(N43=Data!$HX$4,Data!$IB$2,IF(N43=Data!$HX$5,Data!$IC$2,IF(N43=Data!$HX$6,Data!$ID$2,IF(N43=Data!$HX$7,Data!$IE$2,IF(N43=Data!$HX$8,Data!$IF$2,IF(N43=Data!$HX$9,Data!$IG$2,IF(N43=Data!$HX$10,Data!$IH$2,IF(N43=Data!$HX$11,Data!$II$2,IF(N43=Data!$HX$12,Data!$IJ$2,IF(N43=Data!$HX$13,Data!$IK$2,IF(N43=Data!$HX$14,Data!$IL$2,IF(N43=Data!$HX$15,Data!$IM$2,IF(N43=Data!$HX$16,Data!$IN$2,IF(N43=Data!$HX$17,Data!$IO$2,IF(N43=Data!$HY$18,Data!$IP$2,IF(N43=Data!$HY$19,Data!$IQ$2,IF(N43=Data!$HY$20,Data!$IR$2,IF(N43=Data!$HY$22,Data!$IS$2,IF(N43=Data!$HY$23,Data!$IT$2,IF(N43=Data!$HY$24,Data!$IU$2,IF(N43=Data!$HY$25,Data!$IV$2,IF(N43=Data!$HY$21,Data!$IW$2,IF(N43=Data!$HX$26,Data!$IV$16)))))))))))))))))))))))))</f>
        <v>0</v>
      </c>
      <c r="BI43" s="65"/>
      <c r="BJ43" s="54"/>
      <c r="BU43" s="65"/>
      <c r="BV43" s="65"/>
      <c r="BZ43" s="65"/>
      <c r="CE43" s="65"/>
      <c r="CF43" s="65"/>
      <c r="CI43" s="65"/>
      <c r="CJ43" s="65"/>
      <c r="CK43" s="65"/>
      <c r="CO43" s="278"/>
      <c r="CP43" s="65"/>
      <c r="CQ43" s="65"/>
      <c r="CR43" s="65"/>
      <c r="CS43" s="65"/>
      <c r="CT43" s="54"/>
      <c r="CU43" s="65"/>
      <c r="CW43" s="65"/>
      <c r="CX43" s="65"/>
      <c r="DF43" s="65"/>
      <c r="DI43" s="65"/>
      <c r="DL43" s="54"/>
      <c r="DW43" s="65"/>
      <c r="DX43" s="65"/>
      <c r="DY43" s="65"/>
    </row>
    <row r="44" spans="1:129" ht="15" customHeight="1">
      <c r="A44" s="51">
        <v>2</v>
      </c>
      <c r="B44" s="137"/>
      <c r="C44" s="139"/>
      <c r="D44" s="740"/>
      <c r="E44" s="740"/>
      <c r="F44" s="740"/>
      <c r="G44" s="740"/>
      <c r="H44" s="740"/>
      <c r="I44" s="714"/>
      <c r="J44" s="714"/>
      <c r="K44" s="718"/>
      <c r="L44" s="718"/>
      <c r="M44" s="137"/>
      <c r="N44" s="718"/>
      <c r="O44" s="718"/>
      <c r="P44" s="718"/>
      <c r="Q44" s="718"/>
      <c r="R44" s="718"/>
      <c r="S44" s="718"/>
      <c r="T44" s="718"/>
      <c r="U44" s="726"/>
      <c r="V44" s="726"/>
      <c r="W44" s="726"/>
      <c r="X44" s="726"/>
      <c r="Y44" s="726"/>
      <c r="Z44" s="727"/>
      <c r="AA44" s="728"/>
      <c r="AB44" s="728"/>
      <c r="AC44" s="728"/>
      <c r="AD44" s="729"/>
      <c r="AE44" s="57"/>
      <c r="AF44" s="57"/>
      <c r="AG44" s="57"/>
      <c r="AU44" s="85"/>
      <c r="AZ44" s="278" t="str">
        <f t="shared" ref="AZ44:AZ52" si="58">IF(OR(AND(I44="Timber",D44="Large Z Frame")),"NonStandard", "Standard" )</f>
        <v>Standard</v>
      </c>
      <c r="BA44" s="278" t="str">
        <f>IF(AND(AZ44="Standard",I44="Timber"),Data!$KC$2,IF(AND(AZ44="Standard",I44="Fauxwood"),Data!$KD$2,Data!$KB$2))</f>
        <v>TimberExtrasOptionsPainted</v>
      </c>
      <c r="BB44" s="278" t="b">
        <f>IF(I44="Timber",Data!$IX$2,IF(I44="Fauxwood",Data!$IY$2))</f>
        <v>0</v>
      </c>
      <c r="BC44" s="65"/>
      <c r="BE44" s="347" t="b">
        <f>IF(N44=Data!$HX$2,Data!$HZ$2,IF(N44=Data!$HX$3,Data!$IA$2,IF(N44=Data!$HX$4,Data!$IB$2,IF(N44=Data!$HX$5,Data!$IC$2,IF(N44=Data!$HX$6,Data!$ID$2,IF(N44=Data!$HX$7,Data!$IE$2,IF(N44=Data!$HX$8,Data!$IF$2,IF(N44=Data!$HX$9,Data!$IG$2,IF(N44=Data!$HX$10,Data!$IH$2,IF(N44=Data!$HX$11,Data!$II$2,IF(N44=Data!$HX$12,Data!$IJ$2,IF(N44=Data!$HX$13,Data!$IK$2,IF(N44=Data!$HX$14,Data!$IL$2,IF(N44=Data!$HX$15,Data!$IM$2,IF(N44=Data!$HX$16,Data!$IN$2,IF(N44=Data!$HX$17,Data!$IO$2,IF(N44=Data!$HY$18,Data!$IP$2,IF(N44=Data!$HY$19,Data!$IQ$2,IF(N44=Data!$HY$20,Data!$IR$2,IF(N44=Data!$HY$22,Data!$IS$2,IF(N44=Data!$HY$23,Data!$IT$2,IF(N44=Data!$HY$24,Data!$IU$2,IF(N44=Data!$HY$25,Data!$IV$2,IF(N44=Data!$HY$21,Data!$IW$2,IF(N44=Data!$HX$26,Data!$IV$16)))))))))))))))))))))))))</f>
        <v>0</v>
      </c>
      <c r="BI44" s="65"/>
      <c r="BJ44" s="54"/>
      <c r="BU44" s="65"/>
      <c r="BV44" s="65"/>
      <c r="BZ44" s="65"/>
      <c r="CE44" s="65"/>
      <c r="CF44" s="65"/>
      <c r="CI44" s="65"/>
      <c r="CJ44" s="65"/>
      <c r="CK44" s="65"/>
      <c r="CO44" s="278"/>
      <c r="CP44" s="65"/>
      <c r="CQ44" s="65"/>
      <c r="CR44" s="65"/>
      <c r="CS44" s="65"/>
      <c r="CT44" s="54"/>
      <c r="CU44" s="65"/>
      <c r="CW44" s="65"/>
      <c r="CX44" s="65"/>
      <c r="DF44" s="65"/>
      <c r="DI44" s="65"/>
      <c r="DL44" s="54"/>
      <c r="DW44" s="65"/>
      <c r="DX44" s="65"/>
      <c r="DY44" s="65"/>
    </row>
    <row r="45" spans="1:129" ht="15" customHeight="1">
      <c r="A45" s="51">
        <v>3</v>
      </c>
      <c r="B45" s="137"/>
      <c r="C45" s="139"/>
      <c r="D45" s="740"/>
      <c r="E45" s="740"/>
      <c r="F45" s="740"/>
      <c r="G45" s="740"/>
      <c r="H45" s="740"/>
      <c r="I45" s="714"/>
      <c r="J45" s="714"/>
      <c r="K45" s="718"/>
      <c r="L45" s="718"/>
      <c r="M45" s="137"/>
      <c r="N45" s="718"/>
      <c r="O45" s="718"/>
      <c r="P45" s="718"/>
      <c r="Q45" s="718"/>
      <c r="R45" s="718"/>
      <c r="S45" s="718"/>
      <c r="T45" s="718"/>
      <c r="U45" s="726"/>
      <c r="V45" s="726"/>
      <c r="W45" s="726"/>
      <c r="X45" s="726"/>
      <c r="Y45" s="726"/>
      <c r="Z45" s="727"/>
      <c r="AA45" s="728"/>
      <c r="AB45" s="728"/>
      <c r="AC45" s="728"/>
      <c r="AD45" s="729"/>
      <c r="AE45" s="57"/>
      <c r="AF45" s="57"/>
      <c r="AG45" s="57"/>
      <c r="AU45" s="85"/>
      <c r="AZ45" s="278" t="str">
        <f t="shared" si="58"/>
        <v>Standard</v>
      </c>
      <c r="BA45" s="278" t="str">
        <f>IF(AND(AZ45="Standard",I45="Timber"),Data!$KC$2,IF(AND(AZ45="Standard",I45="Fauxwood"),Data!$KD$2,Data!$KB$2))</f>
        <v>TimberExtrasOptionsPainted</v>
      </c>
      <c r="BB45" s="278" t="b">
        <f>IF(I45="Timber",Data!$IX$2,IF(I45="Fauxwood",Data!$IY$2))</f>
        <v>0</v>
      </c>
      <c r="BC45" s="65"/>
      <c r="BE45" s="347" t="b">
        <f>IF(N45=Data!$HX$2,Data!$HZ$2,IF(N45=Data!$HX$3,Data!$IA$2,IF(N45=Data!$HX$4,Data!$IB$2,IF(N45=Data!$HX$5,Data!$IC$2,IF(N45=Data!$HX$6,Data!$ID$2,IF(N45=Data!$HX$7,Data!$IE$2,IF(N45=Data!$HX$8,Data!$IF$2,IF(N45=Data!$HX$9,Data!$IG$2,IF(N45=Data!$HX$10,Data!$IH$2,IF(N45=Data!$HX$11,Data!$II$2,IF(N45=Data!$HX$12,Data!$IJ$2,IF(N45=Data!$HX$13,Data!$IK$2,IF(N45=Data!$HX$14,Data!$IL$2,IF(N45=Data!$HX$15,Data!$IM$2,IF(N45=Data!$HX$16,Data!$IN$2,IF(N45=Data!$HX$17,Data!$IO$2,IF(N45=Data!$HY$18,Data!$IP$2,IF(N45=Data!$HY$19,Data!$IQ$2,IF(N45=Data!$HY$20,Data!$IR$2,IF(N45=Data!$HY$22,Data!$IS$2,IF(N45=Data!$HY$23,Data!$IT$2,IF(N45=Data!$HY$24,Data!$IU$2,IF(N45=Data!$HY$25,Data!$IV$2,IF(N45=Data!$HY$21,Data!$IW$2,IF(N45=Data!$HX$26,Data!$IV$16)))))))))))))))))))))))))</f>
        <v>0</v>
      </c>
      <c r="BI45" s="65"/>
      <c r="BJ45" s="54"/>
      <c r="BU45" s="65"/>
      <c r="BV45" s="65"/>
      <c r="BZ45" s="65"/>
      <c r="CE45" s="65"/>
      <c r="CF45" s="65"/>
      <c r="CI45" s="65"/>
      <c r="CJ45" s="65"/>
      <c r="CK45" s="65"/>
      <c r="CO45" s="278"/>
      <c r="CP45" s="65"/>
      <c r="CQ45" s="65"/>
      <c r="CR45" s="65"/>
      <c r="CS45" s="65"/>
      <c r="CT45" s="54"/>
      <c r="CU45" s="65"/>
      <c r="CW45" s="65"/>
      <c r="CX45" s="65"/>
      <c r="DF45" s="65"/>
      <c r="DI45" s="65"/>
      <c r="DL45" s="54"/>
      <c r="DW45" s="65"/>
      <c r="DX45" s="65"/>
      <c r="DY45" s="65"/>
    </row>
    <row r="46" spans="1:129" ht="15" customHeight="1">
      <c r="A46" s="51">
        <v>4</v>
      </c>
      <c r="B46" s="137"/>
      <c r="C46" s="139"/>
      <c r="D46" s="740"/>
      <c r="E46" s="740"/>
      <c r="F46" s="740"/>
      <c r="G46" s="740"/>
      <c r="H46" s="740"/>
      <c r="I46" s="714"/>
      <c r="J46" s="714"/>
      <c r="K46" s="718"/>
      <c r="L46" s="718"/>
      <c r="M46" s="137"/>
      <c r="N46" s="718"/>
      <c r="O46" s="718"/>
      <c r="P46" s="718"/>
      <c r="Q46" s="718"/>
      <c r="R46" s="718"/>
      <c r="S46" s="718"/>
      <c r="T46" s="718"/>
      <c r="U46" s="726"/>
      <c r="V46" s="726"/>
      <c r="W46" s="726"/>
      <c r="X46" s="726"/>
      <c r="Y46" s="726"/>
      <c r="Z46" s="727"/>
      <c r="AA46" s="728"/>
      <c r="AB46" s="728"/>
      <c r="AC46" s="728"/>
      <c r="AD46" s="729"/>
      <c r="AE46" s="57"/>
      <c r="AF46" s="57"/>
      <c r="AG46" s="57"/>
      <c r="AU46" s="85"/>
      <c r="AZ46" s="278" t="str">
        <f t="shared" si="58"/>
        <v>Standard</v>
      </c>
      <c r="BA46" s="278" t="str">
        <f>IF(AND(AZ46="Standard",I46="Timber"),Data!$KC$2,IF(AND(AZ46="Standard",I46="Fauxwood"),Data!$KD$2,Data!$KB$2))</f>
        <v>TimberExtrasOptionsPainted</v>
      </c>
      <c r="BB46" s="278" t="b">
        <f>IF(I46="Timber",Data!$IX$2,IF(I46="Fauxwood",Data!$IY$2))</f>
        <v>0</v>
      </c>
      <c r="BC46" s="65"/>
      <c r="BE46" s="347" t="b">
        <f>IF(N46=Data!$HX$2,Data!$HZ$2,IF(N46=Data!$HX$3,Data!$IA$2,IF(N46=Data!$HX$4,Data!$IB$2,IF(N46=Data!$HX$5,Data!$IC$2,IF(N46=Data!$HX$6,Data!$ID$2,IF(N46=Data!$HX$7,Data!$IE$2,IF(N46=Data!$HX$8,Data!$IF$2,IF(N46=Data!$HX$9,Data!$IG$2,IF(N46=Data!$HX$10,Data!$IH$2,IF(N46=Data!$HX$11,Data!$II$2,IF(N46=Data!$HX$12,Data!$IJ$2,IF(N46=Data!$HX$13,Data!$IK$2,IF(N46=Data!$HX$14,Data!$IL$2,IF(N46=Data!$HX$15,Data!$IM$2,IF(N46=Data!$HX$16,Data!$IN$2,IF(N46=Data!$HX$17,Data!$IO$2,IF(N46=Data!$HY$18,Data!$IP$2,IF(N46=Data!$HY$19,Data!$IQ$2,IF(N46=Data!$HY$20,Data!$IR$2,IF(N46=Data!$HY$22,Data!$IS$2,IF(N46=Data!$HY$23,Data!$IT$2,IF(N46=Data!$HY$24,Data!$IU$2,IF(N46=Data!$HY$25,Data!$IV$2,IF(N46=Data!$HY$21,Data!$IW$2,IF(N46=Data!$HX$26,Data!$IV$16)))))))))))))))))))))))))</f>
        <v>0</v>
      </c>
      <c r="BI46" s="65"/>
      <c r="BJ46" s="54"/>
      <c r="BU46" s="65"/>
      <c r="BV46" s="65"/>
      <c r="BZ46" s="65"/>
      <c r="CE46" s="65"/>
      <c r="CF46" s="65"/>
      <c r="CI46" s="65"/>
      <c r="CJ46" s="65"/>
      <c r="CK46" s="65"/>
      <c r="CO46" s="278"/>
      <c r="CP46" s="65"/>
      <c r="CQ46" s="65"/>
      <c r="CR46" s="65"/>
      <c r="CS46" s="65"/>
      <c r="CT46" s="54"/>
      <c r="CU46" s="65"/>
      <c r="CW46" s="65"/>
      <c r="CX46" s="65"/>
      <c r="DF46" s="65"/>
      <c r="DI46" s="65"/>
      <c r="DL46" s="54"/>
      <c r="DW46" s="65"/>
      <c r="DX46" s="65"/>
      <c r="DY46" s="65"/>
    </row>
    <row r="47" spans="1:129" ht="15" customHeight="1">
      <c r="A47" s="51">
        <v>5</v>
      </c>
      <c r="B47" s="137"/>
      <c r="C47" s="139"/>
      <c r="D47" s="740"/>
      <c r="E47" s="740"/>
      <c r="F47" s="740"/>
      <c r="G47" s="740"/>
      <c r="H47" s="740"/>
      <c r="I47" s="714"/>
      <c r="J47" s="714"/>
      <c r="K47" s="718"/>
      <c r="L47" s="718"/>
      <c r="M47" s="137"/>
      <c r="N47" s="718"/>
      <c r="O47" s="718"/>
      <c r="P47" s="718"/>
      <c r="Q47" s="718"/>
      <c r="R47" s="718"/>
      <c r="S47" s="718"/>
      <c r="T47" s="718"/>
      <c r="U47" s="726"/>
      <c r="V47" s="726"/>
      <c r="W47" s="726"/>
      <c r="X47" s="726"/>
      <c r="Y47" s="726"/>
      <c r="Z47" s="727"/>
      <c r="AA47" s="728"/>
      <c r="AB47" s="728"/>
      <c r="AC47" s="728"/>
      <c r="AD47" s="729"/>
      <c r="AE47" s="57"/>
      <c r="AF47" s="57"/>
      <c r="AG47" s="57"/>
      <c r="AU47" s="85"/>
      <c r="AZ47" s="278" t="str">
        <f t="shared" si="58"/>
        <v>Standard</v>
      </c>
      <c r="BA47" s="278" t="str">
        <f>IF(AND(AZ47="Standard",I47="Timber"),Data!$KC$2,IF(AND(AZ47="Standard",I47="Fauxwood"),Data!$KD$2,Data!$KB$2))</f>
        <v>TimberExtrasOptionsPainted</v>
      </c>
      <c r="BB47" s="278" t="b">
        <f>IF(I47="Timber",Data!$IX$2,IF(I47="Fauxwood",Data!$IY$2))</f>
        <v>0</v>
      </c>
      <c r="BC47" s="65"/>
      <c r="BE47" s="347" t="b">
        <f>IF(N47=Data!$HX$2,Data!$HZ$2,IF(N47=Data!$HX$3,Data!$IA$2,IF(N47=Data!$HX$4,Data!$IB$2,IF(N47=Data!$HX$5,Data!$IC$2,IF(N47=Data!$HX$6,Data!$ID$2,IF(N47=Data!$HX$7,Data!$IE$2,IF(N47=Data!$HX$8,Data!$IF$2,IF(N47=Data!$HX$9,Data!$IG$2,IF(N47=Data!$HX$10,Data!$IH$2,IF(N47=Data!$HX$11,Data!$II$2,IF(N47=Data!$HX$12,Data!$IJ$2,IF(N47=Data!$HX$13,Data!$IK$2,IF(N47=Data!$HX$14,Data!$IL$2,IF(N47=Data!$HX$15,Data!$IM$2,IF(N47=Data!$HX$16,Data!$IN$2,IF(N47=Data!$HX$17,Data!$IO$2,IF(N47=Data!$HY$18,Data!$IP$2,IF(N47=Data!$HY$19,Data!$IQ$2,IF(N47=Data!$HY$20,Data!$IR$2,IF(N47=Data!$HY$22,Data!$IS$2,IF(N47=Data!$HY$23,Data!$IT$2,IF(N47=Data!$HY$24,Data!$IU$2,IF(N47=Data!$HY$25,Data!$IV$2,IF(N47=Data!$HY$21,Data!$IW$2,IF(N47=Data!$HX$26,Data!$IV$16)))))))))))))))))))))))))</f>
        <v>0</v>
      </c>
      <c r="BI47" s="65"/>
      <c r="BJ47" s="54"/>
      <c r="BU47" s="65"/>
      <c r="BV47" s="65"/>
      <c r="BZ47" s="65"/>
      <c r="CE47" s="65"/>
      <c r="CF47" s="65"/>
      <c r="CI47" s="65"/>
      <c r="CJ47" s="65"/>
      <c r="CK47" s="65"/>
      <c r="CO47" s="278"/>
      <c r="CP47" s="65"/>
      <c r="CQ47" s="65"/>
      <c r="CR47" s="65"/>
      <c r="CS47" s="65"/>
      <c r="CT47" s="54"/>
      <c r="CU47" s="65"/>
      <c r="CW47" s="65"/>
      <c r="CX47" s="65"/>
      <c r="DF47" s="65"/>
      <c r="DI47" s="65"/>
      <c r="DL47" s="54"/>
      <c r="DW47" s="65"/>
      <c r="DX47" s="65"/>
      <c r="DY47" s="65"/>
    </row>
    <row r="48" spans="1:129" ht="15" customHeight="1">
      <c r="A48" s="51">
        <v>6</v>
      </c>
      <c r="B48" s="137"/>
      <c r="C48" s="139"/>
      <c r="D48" s="740"/>
      <c r="E48" s="740"/>
      <c r="F48" s="740"/>
      <c r="G48" s="740"/>
      <c r="H48" s="740"/>
      <c r="I48" s="714"/>
      <c r="J48" s="714"/>
      <c r="K48" s="718"/>
      <c r="L48" s="718"/>
      <c r="M48" s="137"/>
      <c r="N48" s="718"/>
      <c r="O48" s="718"/>
      <c r="P48" s="718"/>
      <c r="Q48" s="718"/>
      <c r="R48" s="718"/>
      <c r="S48" s="718"/>
      <c r="T48" s="718"/>
      <c r="U48" s="726"/>
      <c r="V48" s="726"/>
      <c r="W48" s="726"/>
      <c r="X48" s="726"/>
      <c r="Y48" s="726"/>
      <c r="Z48" s="727"/>
      <c r="AA48" s="728"/>
      <c r="AB48" s="728"/>
      <c r="AC48" s="728"/>
      <c r="AD48" s="729"/>
      <c r="AE48" s="57"/>
      <c r="AF48" s="57"/>
      <c r="AG48" s="57"/>
      <c r="AU48" s="85"/>
      <c r="AZ48" s="278" t="str">
        <f t="shared" si="58"/>
        <v>Standard</v>
      </c>
      <c r="BA48" s="278" t="str">
        <f>IF(AND(AZ48="Standard",I48="Timber"),Data!$KC$2,IF(AND(AZ48="Standard",I48="Fauxwood"),Data!$KD$2,Data!$KB$2))</f>
        <v>TimberExtrasOptionsPainted</v>
      </c>
      <c r="BB48" s="278" t="b">
        <f>IF(I48="Timber",Data!$IX$2,IF(I48="Fauxwood",Data!$IY$2))</f>
        <v>0</v>
      </c>
      <c r="BC48" s="65"/>
      <c r="BE48" s="347" t="b">
        <f>IF(N48=Data!$HX$2,Data!$HZ$2,IF(N48=Data!$HX$3,Data!$IA$2,IF(N48=Data!$HX$4,Data!$IB$2,IF(N48=Data!$HX$5,Data!$IC$2,IF(N48=Data!$HX$6,Data!$ID$2,IF(N48=Data!$HX$7,Data!$IE$2,IF(N48=Data!$HX$8,Data!$IF$2,IF(N48=Data!$HX$9,Data!$IG$2,IF(N48=Data!$HX$10,Data!$IH$2,IF(N48=Data!$HX$11,Data!$II$2,IF(N48=Data!$HX$12,Data!$IJ$2,IF(N48=Data!$HX$13,Data!$IK$2,IF(N48=Data!$HX$14,Data!$IL$2,IF(N48=Data!$HX$15,Data!$IM$2,IF(N48=Data!$HX$16,Data!$IN$2,IF(N48=Data!$HX$17,Data!$IO$2,IF(N48=Data!$HY$18,Data!$IP$2,IF(N48=Data!$HY$19,Data!$IQ$2,IF(N48=Data!$HY$20,Data!$IR$2,IF(N48=Data!$HY$22,Data!$IS$2,IF(N48=Data!$HY$23,Data!$IT$2,IF(N48=Data!$HY$24,Data!$IU$2,IF(N48=Data!$HY$25,Data!$IV$2,IF(N48=Data!$HY$21,Data!$IW$2,IF(N48=Data!$HX$26,Data!$IV$16)))))))))))))))))))))))))</f>
        <v>0</v>
      </c>
      <c r="BI48" s="65"/>
      <c r="BJ48" s="54"/>
      <c r="BU48" s="65"/>
      <c r="BV48" s="65"/>
      <c r="BZ48" s="65"/>
      <c r="CE48" s="65"/>
      <c r="CF48" s="65"/>
      <c r="CI48" s="65"/>
      <c r="CJ48" s="65"/>
      <c r="CK48" s="65"/>
      <c r="CO48" s="278"/>
      <c r="CP48" s="65"/>
      <c r="CQ48" s="65"/>
      <c r="CR48" s="65"/>
      <c r="CS48" s="65"/>
      <c r="CT48" s="54"/>
      <c r="CU48" s="65"/>
      <c r="CW48" s="65"/>
      <c r="CX48" s="65"/>
      <c r="DF48" s="65"/>
      <c r="DI48" s="65"/>
      <c r="DL48" s="54"/>
      <c r="DW48" s="65"/>
      <c r="DX48" s="65"/>
      <c r="DY48" s="65"/>
    </row>
    <row r="49" spans="1:129" ht="15" customHeight="1">
      <c r="A49" s="51">
        <v>7</v>
      </c>
      <c r="B49" s="137"/>
      <c r="C49" s="139"/>
      <c r="D49" s="740"/>
      <c r="E49" s="740"/>
      <c r="F49" s="740"/>
      <c r="G49" s="740"/>
      <c r="H49" s="740"/>
      <c r="I49" s="714"/>
      <c r="J49" s="714"/>
      <c r="K49" s="718"/>
      <c r="L49" s="718"/>
      <c r="M49" s="137"/>
      <c r="N49" s="718"/>
      <c r="O49" s="718"/>
      <c r="P49" s="718"/>
      <c r="Q49" s="718"/>
      <c r="R49" s="718"/>
      <c r="S49" s="718"/>
      <c r="T49" s="718"/>
      <c r="U49" s="726"/>
      <c r="V49" s="726"/>
      <c r="W49" s="726"/>
      <c r="X49" s="726"/>
      <c r="Y49" s="726"/>
      <c r="Z49" s="727"/>
      <c r="AA49" s="728"/>
      <c r="AB49" s="728"/>
      <c r="AC49" s="728"/>
      <c r="AD49" s="729"/>
      <c r="AE49" s="57"/>
      <c r="AF49" s="57"/>
      <c r="AG49" s="57"/>
      <c r="AU49" s="85"/>
      <c r="AZ49" s="278" t="str">
        <f t="shared" si="58"/>
        <v>Standard</v>
      </c>
      <c r="BA49" s="278" t="str">
        <f>IF(AND(AZ49="Standard",I49="Timber"),Data!$KC$2,IF(AND(AZ49="Standard",I49="Fauxwood"),Data!$KD$2,Data!$KB$2))</f>
        <v>TimberExtrasOptionsPainted</v>
      </c>
      <c r="BB49" s="278" t="b">
        <f>IF(I49="Timber",Data!$IX$2,IF(I49="Fauxwood",Data!$IY$2))</f>
        <v>0</v>
      </c>
      <c r="BC49" s="65"/>
      <c r="BE49" s="347" t="b">
        <f>IF(N49=Data!$HX$2,Data!$HZ$2,IF(N49=Data!$HX$3,Data!$IA$2,IF(N49=Data!$HX$4,Data!$IB$2,IF(N49=Data!$HX$5,Data!$IC$2,IF(N49=Data!$HX$6,Data!$ID$2,IF(N49=Data!$HX$7,Data!$IE$2,IF(N49=Data!$HX$8,Data!$IF$2,IF(N49=Data!$HX$9,Data!$IG$2,IF(N49=Data!$HX$10,Data!$IH$2,IF(N49=Data!$HX$11,Data!$II$2,IF(N49=Data!$HX$12,Data!$IJ$2,IF(N49=Data!$HX$13,Data!$IK$2,IF(N49=Data!$HX$14,Data!$IL$2,IF(N49=Data!$HX$15,Data!$IM$2,IF(N49=Data!$HX$16,Data!$IN$2,IF(N49=Data!$HX$17,Data!$IO$2,IF(N49=Data!$HY$18,Data!$IP$2,IF(N49=Data!$HY$19,Data!$IQ$2,IF(N49=Data!$HY$20,Data!$IR$2,IF(N49=Data!$HY$22,Data!$IS$2,IF(N49=Data!$HY$23,Data!$IT$2,IF(N49=Data!$HY$24,Data!$IU$2,IF(N49=Data!$HY$25,Data!$IV$2,IF(N49=Data!$HY$21,Data!$IW$2,IF(N49=Data!$HX$26,Data!$IV$16)))))))))))))))))))))))))</f>
        <v>0</v>
      </c>
      <c r="BI49" s="65"/>
      <c r="BJ49" s="54"/>
      <c r="BU49" s="65"/>
      <c r="BV49" s="65"/>
      <c r="BZ49" s="65"/>
      <c r="CE49" s="65"/>
      <c r="CF49" s="65"/>
      <c r="CI49" s="65"/>
      <c r="CJ49" s="65"/>
      <c r="CK49" s="65"/>
      <c r="CO49" s="278"/>
      <c r="CP49" s="65"/>
      <c r="CQ49" s="65"/>
      <c r="CR49" s="65"/>
      <c r="CS49" s="65"/>
      <c r="CT49" s="54"/>
      <c r="CU49" s="65"/>
      <c r="CW49" s="65"/>
      <c r="CX49" s="65"/>
      <c r="DF49" s="65"/>
      <c r="DI49" s="65"/>
      <c r="DL49" s="54"/>
      <c r="DW49" s="65"/>
      <c r="DX49" s="65"/>
      <c r="DY49" s="65"/>
    </row>
    <row r="50" spans="1:129" ht="15" customHeight="1">
      <c r="A50" s="51">
        <v>8</v>
      </c>
      <c r="B50" s="137"/>
      <c r="C50" s="139"/>
      <c r="D50" s="740"/>
      <c r="E50" s="740"/>
      <c r="F50" s="740"/>
      <c r="G50" s="740"/>
      <c r="H50" s="740"/>
      <c r="I50" s="714"/>
      <c r="J50" s="714"/>
      <c r="K50" s="718"/>
      <c r="L50" s="718"/>
      <c r="M50" s="137"/>
      <c r="N50" s="718"/>
      <c r="O50" s="718"/>
      <c r="P50" s="718"/>
      <c r="Q50" s="718"/>
      <c r="R50" s="718"/>
      <c r="S50" s="718"/>
      <c r="T50" s="718"/>
      <c r="U50" s="726"/>
      <c r="V50" s="726"/>
      <c r="W50" s="726"/>
      <c r="X50" s="726"/>
      <c r="Y50" s="726"/>
      <c r="Z50" s="727"/>
      <c r="AA50" s="728"/>
      <c r="AB50" s="728"/>
      <c r="AC50" s="728"/>
      <c r="AD50" s="729"/>
      <c r="AE50" s="57"/>
      <c r="AF50" s="57"/>
      <c r="AG50" s="57"/>
      <c r="AU50" s="85"/>
      <c r="AZ50" s="278" t="str">
        <f t="shared" si="58"/>
        <v>Standard</v>
      </c>
      <c r="BA50" s="278" t="str">
        <f>IF(AND(AZ50="Standard",I50="Timber"),Data!$KC$2,IF(AND(AZ50="Standard",I50="Fauxwood"),Data!$KD$2,Data!$KB$2))</f>
        <v>TimberExtrasOptionsPainted</v>
      </c>
      <c r="BB50" s="278" t="b">
        <f>IF(I50="Timber",Data!$IX$2,IF(I50="Fauxwood",Data!$IY$2))</f>
        <v>0</v>
      </c>
      <c r="BC50" s="65"/>
      <c r="BE50" s="347" t="b">
        <f>IF(N50=Data!$HX$2,Data!$HZ$2,IF(N50=Data!$HX$3,Data!$IA$2,IF(N50=Data!$HX$4,Data!$IB$2,IF(N50=Data!$HX$5,Data!$IC$2,IF(N50=Data!$HX$6,Data!$ID$2,IF(N50=Data!$HX$7,Data!$IE$2,IF(N50=Data!$HX$8,Data!$IF$2,IF(N50=Data!$HX$9,Data!$IG$2,IF(N50=Data!$HX$10,Data!$IH$2,IF(N50=Data!$HX$11,Data!$II$2,IF(N50=Data!$HX$12,Data!$IJ$2,IF(N50=Data!$HX$13,Data!$IK$2,IF(N50=Data!$HX$14,Data!$IL$2,IF(N50=Data!$HX$15,Data!$IM$2,IF(N50=Data!$HX$16,Data!$IN$2,IF(N50=Data!$HX$17,Data!$IO$2,IF(N50=Data!$HY$18,Data!$IP$2,IF(N50=Data!$HY$19,Data!$IQ$2,IF(N50=Data!$HY$20,Data!$IR$2,IF(N50=Data!$HY$22,Data!$IS$2,IF(N50=Data!$HY$23,Data!$IT$2,IF(N50=Data!$HY$24,Data!$IU$2,IF(N50=Data!$HY$25,Data!$IV$2,IF(N50=Data!$HY$21,Data!$IW$2,IF(N50=Data!$HX$26,Data!$IV$16)))))))))))))))))))))))))</f>
        <v>0</v>
      </c>
      <c r="BI50" s="65"/>
      <c r="BJ50" s="54"/>
      <c r="BU50" s="65"/>
      <c r="BV50" s="65"/>
      <c r="BZ50" s="65"/>
      <c r="CE50" s="65"/>
      <c r="CF50" s="65"/>
      <c r="CI50" s="65"/>
      <c r="CJ50" s="65"/>
      <c r="CK50" s="65"/>
      <c r="CO50" s="278"/>
      <c r="CP50" s="65"/>
      <c r="CQ50" s="65"/>
      <c r="CR50" s="65"/>
      <c r="CS50" s="65"/>
      <c r="CT50" s="54"/>
      <c r="CU50" s="65"/>
      <c r="CW50" s="65"/>
      <c r="CX50" s="65"/>
      <c r="DF50" s="65"/>
      <c r="DI50" s="65"/>
      <c r="DL50" s="54"/>
      <c r="DW50" s="65"/>
      <c r="DX50" s="65"/>
      <c r="DY50" s="65"/>
    </row>
    <row r="51" spans="1:129" ht="15" customHeight="1">
      <c r="A51" s="51">
        <v>9</v>
      </c>
      <c r="B51" s="137"/>
      <c r="C51" s="139"/>
      <c r="D51" s="740"/>
      <c r="E51" s="740"/>
      <c r="F51" s="740"/>
      <c r="G51" s="740"/>
      <c r="H51" s="740"/>
      <c r="I51" s="714"/>
      <c r="J51" s="714"/>
      <c r="K51" s="718"/>
      <c r="L51" s="718"/>
      <c r="M51" s="137"/>
      <c r="N51" s="718"/>
      <c r="O51" s="718"/>
      <c r="P51" s="718"/>
      <c r="Q51" s="718"/>
      <c r="R51" s="718"/>
      <c r="S51" s="718"/>
      <c r="T51" s="718"/>
      <c r="U51" s="726"/>
      <c r="V51" s="726"/>
      <c r="W51" s="726"/>
      <c r="X51" s="726"/>
      <c r="Y51" s="726"/>
      <c r="Z51" s="727"/>
      <c r="AA51" s="728"/>
      <c r="AB51" s="728"/>
      <c r="AC51" s="728"/>
      <c r="AD51" s="729"/>
      <c r="AE51" s="57"/>
      <c r="AF51" s="57"/>
      <c r="AG51" s="57"/>
      <c r="AU51" s="85"/>
      <c r="AZ51" s="278" t="str">
        <f t="shared" si="58"/>
        <v>Standard</v>
      </c>
      <c r="BA51" s="278" t="str">
        <f>IF(AND(AZ51="Standard",I51="Timber"),Data!$KC$2,IF(AND(AZ51="Standard",I51="Fauxwood"),Data!$KD$2,Data!$KB$2))</f>
        <v>TimberExtrasOptionsPainted</v>
      </c>
      <c r="BB51" s="278" t="b">
        <f>IF(I51="Timber",Data!$IX$2,IF(I51="Fauxwood",Data!$IY$2))</f>
        <v>0</v>
      </c>
      <c r="BC51" s="65"/>
      <c r="BE51" s="347" t="b">
        <f>IF(N51=Data!$HX$2,Data!$HZ$2,IF(N51=Data!$HX$3,Data!$IA$2,IF(N51=Data!$HX$4,Data!$IB$2,IF(N51=Data!$HX$5,Data!$IC$2,IF(N51=Data!$HX$6,Data!$ID$2,IF(N51=Data!$HX$7,Data!$IE$2,IF(N51=Data!$HX$8,Data!$IF$2,IF(N51=Data!$HX$9,Data!$IG$2,IF(N51=Data!$HX$10,Data!$IH$2,IF(N51=Data!$HX$11,Data!$II$2,IF(N51=Data!$HX$12,Data!$IJ$2,IF(N51=Data!$HX$13,Data!$IK$2,IF(N51=Data!$HX$14,Data!$IL$2,IF(N51=Data!$HX$15,Data!$IM$2,IF(N51=Data!$HX$16,Data!$IN$2,IF(N51=Data!$HX$17,Data!$IO$2,IF(N51=Data!$HY$18,Data!$IP$2,IF(N51=Data!$HY$19,Data!$IQ$2,IF(N51=Data!$HY$20,Data!$IR$2,IF(N51=Data!$HY$22,Data!$IS$2,IF(N51=Data!$HY$23,Data!$IT$2,IF(N51=Data!$HY$24,Data!$IU$2,IF(N51=Data!$HY$25,Data!$IV$2,IF(N51=Data!$HY$21,Data!$IW$2,IF(N51=Data!$HX$26,Data!$IV$16)))))))))))))))))))))))))</f>
        <v>0</v>
      </c>
      <c r="BI51" s="65"/>
      <c r="BJ51" s="54"/>
      <c r="BU51" s="65"/>
      <c r="BV51" s="65"/>
      <c r="BZ51" s="65"/>
      <c r="CE51" s="65"/>
      <c r="CF51" s="65"/>
      <c r="CI51" s="65"/>
      <c r="CJ51" s="65"/>
      <c r="CK51" s="65"/>
      <c r="CO51" s="278"/>
      <c r="CP51" s="65"/>
      <c r="CQ51" s="65"/>
      <c r="CR51" s="65"/>
      <c r="CS51" s="65"/>
      <c r="CT51" s="54"/>
      <c r="CU51" s="65"/>
      <c r="CW51" s="65"/>
      <c r="CX51" s="65"/>
      <c r="DF51" s="65"/>
      <c r="DI51" s="65"/>
      <c r="DL51" s="54"/>
      <c r="DW51" s="65"/>
      <c r="DX51" s="65"/>
      <c r="DY51" s="65"/>
    </row>
    <row r="52" spans="1:129" ht="15" customHeight="1" thickBot="1">
      <c r="A52" s="141">
        <v>10</v>
      </c>
      <c r="B52" s="142"/>
      <c r="C52" s="146"/>
      <c r="D52" s="741"/>
      <c r="E52" s="741"/>
      <c r="F52" s="741"/>
      <c r="G52" s="741"/>
      <c r="H52" s="741"/>
      <c r="I52" s="715"/>
      <c r="J52" s="715"/>
      <c r="K52" s="719"/>
      <c r="L52" s="719"/>
      <c r="M52" s="142"/>
      <c r="N52" s="719"/>
      <c r="O52" s="719"/>
      <c r="P52" s="719"/>
      <c r="Q52" s="719"/>
      <c r="R52" s="719"/>
      <c r="S52" s="719"/>
      <c r="T52" s="719"/>
      <c r="U52" s="725"/>
      <c r="V52" s="725"/>
      <c r="W52" s="725"/>
      <c r="X52" s="725"/>
      <c r="Y52" s="725"/>
      <c r="Z52" s="722"/>
      <c r="AA52" s="723"/>
      <c r="AB52" s="723"/>
      <c r="AC52" s="723"/>
      <c r="AD52" s="724"/>
      <c r="AE52" s="57"/>
      <c r="AF52" s="57"/>
      <c r="AG52" s="57"/>
      <c r="AU52" s="85"/>
      <c r="AZ52" s="278" t="str">
        <f t="shared" si="58"/>
        <v>Standard</v>
      </c>
      <c r="BA52" s="278" t="str">
        <f>IF(AND(AZ52="Standard",I52="Timber"),Data!$KC$2,IF(AND(AZ52="Standard",I52="Fauxwood"),Data!$KD$2,Data!$KB$2))</f>
        <v>TimberExtrasOptionsPainted</v>
      </c>
      <c r="BB52" s="278" t="b">
        <f>IF(I52="Timber",Data!$IX$2,IF(I52="Fauxwood",Data!$IY$2))</f>
        <v>0</v>
      </c>
      <c r="BC52" s="65"/>
      <c r="BE52" s="347" t="b">
        <f>IF(N52=Data!$HX$2,Data!$HZ$2,IF(N52=Data!$HX$3,Data!$IA$2,IF(N52=Data!$HX$4,Data!$IB$2,IF(N52=Data!$HX$5,Data!$IC$2,IF(N52=Data!$HX$6,Data!$ID$2,IF(N52=Data!$HX$7,Data!$IE$2,IF(N52=Data!$HX$8,Data!$IF$2,IF(N52=Data!$HX$9,Data!$IG$2,IF(N52=Data!$HX$10,Data!$IH$2,IF(N52=Data!$HX$11,Data!$II$2,IF(N52=Data!$HX$12,Data!$IJ$2,IF(N52=Data!$HX$13,Data!$IK$2,IF(N52=Data!$HX$14,Data!$IL$2,IF(N52=Data!$HX$15,Data!$IM$2,IF(N52=Data!$HX$16,Data!$IN$2,IF(N52=Data!$HX$17,Data!$IO$2,IF(N52=Data!$HY$18,Data!$IP$2,IF(N52=Data!$HY$19,Data!$IQ$2,IF(N52=Data!$HY$20,Data!$IR$2,IF(N52=Data!$HY$22,Data!$IS$2,IF(N52=Data!$HY$23,Data!$IT$2,IF(N52=Data!$HY$24,Data!$IU$2,IF(N52=Data!$HY$25,Data!$IV$2,IF(N52=Data!$HY$21,Data!$IW$2,IF(N52=Data!$HX$26,Data!$IV$16)))))))))))))))))))))))))</f>
        <v>0</v>
      </c>
      <c r="BI52" s="65"/>
      <c r="BJ52" s="54"/>
      <c r="BU52" s="65"/>
      <c r="BV52" s="65"/>
      <c r="BZ52" s="65"/>
      <c r="CE52" s="65"/>
      <c r="CF52" s="65"/>
      <c r="CI52" s="65"/>
      <c r="CJ52" s="65"/>
      <c r="CK52" s="65"/>
      <c r="CO52" s="278"/>
      <c r="CP52" s="65"/>
      <c r="CQ52" s="65"/>
      <c r="CR52" s="65"/>
      <c r="CS52" s="65"/>
      <c r="CT52" s="54"/>
      <c r="CU52" s="65"/>
      <c r="CW52" s="65"/>
      <c r="CX52" s="65"/>
      <c r="DF52" s="65"/>
      <c r="DI52" s="65"/>
      <c r="DL52" s="54"/>
      <c r="DW52" s="65"/>
      <c r="DX52" s="65"/>
      <c r="DY52" s="65"/>
    </row>
    <row r="53" spans="1:129" ht="15.75" thickTop="1">
      <c r="BA53" s="65"/>
      <c r="BC53" s="65"/>
      <c r="BE53" s="65"/>
      <c r="BI53" s="65"/>
      <c r="BJ53" s="54"/>
      <c r="BU53" s="65"/>
      <c r="BV53" s="65"/>
      <c r="BZ53" s="65"/>
      <c r="CE53" s="65"/>
      <c r="CF53" s="65"/>
      <c r="CI53" s="65"/>
      <c r="CJ53" s="65"/>
      <c r="CK53" s="65"/>
      <c r="CO53" s="278"/>
      <c r="CP53" s="65"/>
      <c r="CQ53" s="65"/>
      <c r="CR53" s="65"/>
      <c r="CS53" s="65"/>
      <c r="CT53" s="54"/>
      <c r="CU53" s="65"/>
      <c r="CW53" s="65"/>
      <c r="CX53" s="65"/>
      <c r="DF53" s="65"/>
      <c r="DI53" s="65"/>
      <c r="DL53" s="54"/>
      <c r="DW53" s="65"/>
      <c r="DX53" s="65"/>
      <c r="DY53" s="65"/>
    </row>
  </sheetData>
  <sheetProtection password="A0FF" sheet="1" objects="1" scenarios="1"/>
  <mergeCells count="197">
    <mergeCell ref="F1:J1"/>
    <mergeCell ref="K32:M32"/>
    <mergeCell ref="K26:M26"/>
    <mergeCell ref="K27:M27"/>
    <mergeCell ref="K28:M28"/>
    <mergeCell ref="K29:M29"/>
    <mergeCell ref="K30:M30"/>
    <mergeCell ref="K40:M40"/>
    <mergeCell ref="B41:I41"/>
    <mergeCell ref="K33:M33"/>
    <mergeCell ref="K34:M34"/>
    <mergeCell ref="K35:M35"/>
    <mergeCell ref="K36:M36"/>
    <mergeCell ref="K37:M37"/>
    <mergeCell ref="K38:M38"/>
    <mergeCell ref="K39:M39"/>
    <mergeCell ref="A24:B24"/>
    <mergeCell ref="H12:I12"/>
    <mergeCell ref="B25:E25"/>
    <mergeCell ref="B26:E26"/>
    <mergeCell ref="B27:E27"/>
    <mergeCell ref="F27:J27"/>
    <mergeCell ref="F28:J28"/>
    <mergeCell ref="B28:E28"/>
    <mergeCell ref="N32:T32"/>
    <mergeCell ref="N33:T33"/>
    <mergeCell ref="N34:T34"/>
    <mergeCell ref="N35:T35"/>
    <mergeCell ref="N36:T36"/>
    <mergeCell ref="N37:T37"/>
    <mergeCell ref="N38:T38"/>
    <mergeCell ref="N39:T39"/>
    <mergeCell ref="N40:T40"/>
    <mergeCell ref="N29:T29"/>
    <mergeCell ref="P13:Q13"/>
    <mergeCell ref="H14:I14"/>
    <mergeCell ref="P14:Q14"/>
    <mergeCell ref="N26:T26"/>
    <mergeCell ref="N27:T27"/>
    <mergeCell ref="N28:T28"/>
    <mergeCell ref="N30:T30"/>
    <mergeCell ref="N31:T31"/>
    <mergeCell ref="K31:M31"/>
    <mergeCell ref="H18:I18"/>
    <mergeCell ref="P18:Q18"/>
    <mergeCell ref="H13:I13"/>
    <mergeCell ref="P15:Q15"/>
    <mergeCell ref="F25:J25"/>
    <mergeCell ref="F26:J26"/>
    <mergeCell ref="F29:J29"/>
    <mergeCell ref="H23:I23"/>
    <mergeCell ref="H15:I15"/>
    <mergeCell ref="H17:I17"/>
    <mergeCell ref="H19:I19"/>
    <mergeCell ref="H20:I20"/>
    <mergeCell ref="H21:I21"/>
    <mergeCell ref="H22:I22"/>
    <mergeCell ref="F2:J2"/>
    <mergeCell ref="A6:J6"/>
    <mergeCell ref="H9:I9"/>
    <mergeCell ref="P9:Q9"/>
    <mergeCell ref="H10:I10"/>
    <mergeCell ref="P10:Q10"/>
    <mergeCell ref="H11:I11"/>
    <mergeCell ref="P11:Q11"/>
    <mergeCell ref="E4:G4"/>
    <mergeCell ref="A4:B4"/>
    <mergeCell ref="C4:D4"/>
    <mergeCell ref="H8:I8"/>
    <mergeCell ref="H4:J4"/>
    <mergeCell ref="B7:J7"/>
    <mergeCell ref="P12:Q12"/>
    <mergeCell ref="AA3:AB3"/>
    <mergeCell ref="AA4:AB4"/>
    <mergeCell ref="M7:V7"/>
    <mergeCell ref="N6:Z6"/>
    <mergeCell ref="Y7:AB7"/>
    <mergeCell ref="N4:Z4"/>
    <mergeCell ref="AF1:AF2"/>
    <mergeCell ref="AE4:AE5"/>
    <mergeCell ref="AF4:AF5"/>
    <mergeCell ref="L1:M1"/>
    <mergeCell ref="L2:M2"/>
    <mergeCell ref="L3:M3"/>
    <mergeCell ref="L4:M4"/>
    <mergeCell ref="L5:M5"/>
    <mergeCell ref="N1:Z1"/>
    <mergeCell ref="N2:Z2"/>
    <mergeCell ref="N3:Z3"/>
    <mergeCell ref="N5:Z5"/>
    <mergeCell ref="AC3:AD3"/>
    <mergeCell ref="AC4:AD4"/>
    <mergeCell ref="AE1:AE2"/>
    <mergeCell ref="B29:E29"/>
    <mergeCell ref="H16:I16"/>
    <mergeCell ref="B38:E38"/>
    <mergeCell ref="B39:E39"/>
    <mergeCell ref="B40:E40"/>
    <mergeCell ref="B33:E33"/>
    <mergeCell ref="B34:E34"/>
    <mergeCell ref="B35:E35"/>
    <mergeCell ref="B36:E36"/>
    <mergeCell ref="B37:E37"/>
    <mergeCell ref="F33:J33"/>
    <mergeCell ref="F34:J34"/>
    <mergeCell ref="F38:J38"/>
    <mergeCell ref="F39:J39"/>
    <mergeCell ref="F35:J35"/>
    <mergeCell ref="F36:J36"/>
    <mergeCell ref="F37:J37"/>
    <mergeCell ref="F40:J40"/>
    <mergeCell ref="D52:H52"/>
    <mergeCell ref="D42:H42"/>
    <mergeCell ref="I45:J45"/>
    <mergeCell ref="U25:AD25"/>
    <mergeCell ref="P8:Q8"/>
    <mergeCell ref="L6:M6"/>
    <mergeCell ref="P23:Q23"/>
    <mergeCell ref="P19:Q19"/>
    <mergeCell ref="P20:Q20"/>
    <mergeCell ref="P21:Q21"/>
    <mergeCell ref="P22:Q22"/>
    <mergeCell ref="K25:M25"/>
    <mergeCell ref="P16:Q16"/>
    <mergeCell ref="N25:T25"/>
    <mergeCell ref="P17:Q17"/>
    <mergeCell ref="W7:X7"/>
    <mergeCell ref="B30:E30"/>
    <mergeCell ref="F30:J30"/>
    <mergeCell ref="F31:J31"/>
    <mergeCell ref="B31:E31"/>
    <mergeCell ref="B32:E32"/>
    <mergeCell ref="F32:J32"/>
    <mergeCell ref="U26:AD40"/>
    <mergeCell ref="U42:Y42"/>
    <mergeCell ref="D43:H43"/>
    <mergeCell ref="D44:H44"/>
    <mergeCell ref="D45:H45"/>
    <mergeCell ref="D46:H46"/>
    <mergeCell ref="D47:H47"/>
    <mergeCell ref="D48:H48"/>
    <mergeCell ref="D49:H49"/>
    <mergeCell ref="D50:H50"/>
    <mergeCell ref="D51:H51"/>
    <mergeCell ref="N52:T52"/>
    <mergeCell ref="N47:T47"/>
    <mergeCell ref="N48:T48"/>
    <mergeCell ref="N49:T49"/>
    <mergeCell ref="N50:T50"/>
    <mergeCell ref="N51:T51"/>
    <mergeCell ref="N45:T45"/>
    <mergeCell ref="N46:T46"/>
    <mergeCell ref="N42:T42"/>
    <mergeCell ref="N43:T43"/>
    <mergeCell ref="N44:T44"/>
    <mergeCell ref="Z42:AD42"/>
    <mergeCell ref="Z43:AD43"/>
    <mergeCell ref="U44:Y44"/>
    <mergeCell ref="U45:Y45"/>
    <mergeCell ref="U46:Y46"/>
    <mergeCell ref="U47:Y47"/>
    <mergeCell ref="U48:Y48"/>
    <mergeCell ref="U49:Y49"/>
    <mergeCell ref="U50:Y50"/>
    <mergeCell ref="U43:Y43"/>
    <mergeCell ref="Z52:AD52"/>
    <mergeCell ref="U52:Y52"/>
    <mergeCell ref="U51:Y51"/>
    <mergeCell ref="Z44:AD44"/>
    <mergeCell ref="Z45:AD45"/>
    <mergeCell ref="Z46:AD46"/>
    <mergeCell ref="Z47:AD47"/>
    <mergeCell ref="Z48:AD48"/>
    <mergeCell ref="Z49:AD49"/>
    <mergeCell ref="Z50:AD50"/>
    <mergeCell ref="Z51:AD51"/>
    <mergeCell ref="I46:J46"/>
    <mergeCell ref="I47:J47"/>
    <mergeCell ref="I48:J48"/>
    <mergeCell ref="I49:J49"/>
    <mergeCell ref="I50:J50"/>
    <mergeCell ref="I51:J51"/>
    <mergeCell ref="I52:J52"/>
    <mergeCell ref="K42:L42"/>
    <mergeCell ref="K43:L43"/>
    <mergeCell ref="K44:L44"/>
    <mergeCell ref="K45:L45"/>
    <mergeCell ref="K46:L46"/>
    <mergeCell ref="K47:L47"/>
    <mergeCell ref="K48:L48"/>
    <mergeCell ref="K49:L49"/>
    <mergeCell ref="K50:L50"/>
    <mergeCell ref="K51:L51"/>
    <mergeCell ref="K52:L52"/>
    <mergeCell ref="I42:J42"/>
    <mergeCell ref="I43:J43"/>
    <mergeCell ref="I44:J44"/>
  </mergeCells>
  <conditionalFormatting sqref="K9:K23">
    <cfRule type="containsText" dxfId="54" priority="3" operator="containsText" text="No">
      <formula>NOT(ISERROR(SEARCH("No",K9)))</formula>
    </cfRule>
    <cfRule type="containsText" dxfId="53" priority="69" stopIfTrue="1" operator="containsText" text="Yes">
      <formula>NOT(ISERROR(SEARCH("Yes",K9)))</formula>
    </cfRule>
  </conditionalFormatting>
  <conditionalFormatting sqref="L9:L23">
    <cfRule type="expression" dxfId="52" priority="68" stopIfTrue="1">
      <formula>BA9="Yes"</formula>
    </cfRule>
  </conditionalFormatting>
  <conditionalFormatting sqref="C9:C23">
    <cfRule type="expression" dxfId="51" priority="67">
      <formula>K9="Yes"</formula>
    </cfRule>
  </conditionalFormatting>
  <conditionalFormatting sqref="D9:D23">
    <cfRule type="expression" dxfId="50" priority="66">
      <formula>BE9="Yes"</formula>
    </cfRule>
  </conditionalFormatting>
  <conditionalFormatting sqref="AC9:AC23">
    <cfRule type="expression" dxfId="49" priority="65">
      <formula>BG9="Required"</formula>
    </cfRule>
  </conditionalFormatting>
  <conditionalFormatting sqref="X9:X23">
    <cfRule type="expression" dxfId="48" priority="63">
      <formula>BI9="Highlight"</formula>
    </cfRule>
  </conditionalFormatting>
  <conditionalFormatting sqref="Y9:Y23">
    <cfRule type="expression" dxfId="47" priority="62">
      <formula>DO9="Yes"</formula>
    </cfRule>
  </conditionalFormatting>
  <conditionalFormatting sqref="AA9:AA23">
    <cfRule type="expression" dxfId="46" priority="57">
      <formula>BM9="Error"</formula>
    </cfRule>
  </conditionalFormatting>
  <conditionalFormatting sqref="AB9:AB23">
    <cfRule type="expression" dxfId="45" priority="56">
      <formula>BN9="Error"</formula>
    </cfRule>
  </conditionalFormatting>
  <conditionalFormatting sqref="K9:K23">
    <cfRule type="containsErrors" dxfId="44" priority="50">
      <formula>ISERROR(K9)</formula>
    </cfRule>
  </conditionalFormatting>
  <conditionalFormatting sqref="H9:I23">
    <cfRule type="expression" dxfId="43" priority="45">
      <formula>CC9="No"</formula>
    </cfRule>
  </conditionalFormatting>
  <conditionalFormatting sqref="J9:J23">
    <cfRule type="expression" dxfId="42" priority="44">
      <formula>CD9="Yes"</formula>
    </cfRule>
  </conditionalFormatting>
  <conditionalFormatting sqref="R9:R23">
    <cfRule type="expression" dxfId="41" priority="43">
      <formula>CE9="Yes"</formula>
    </cfRule>
  </conditionalFormatting>
  <conditionalFormatting sqref="S9:S23">
    <cfRule type="expression" dxfId="40" priority="42">
      <formula>DW9="Yes"</formula>
    </cfRule>
  </conditionalFormatting>
  <conditionalFormatting sqref="T9:T23 R10:U12">
    <cfRule type="expression" dxfId="39" priority="41">
      <formula>DV9="Yes"</formula>
    </cfRule>
  </conditionalFormatting>
  <conditionalFormatting sqref="P9:Q23">
    <cfRule type="expression" dxfId="38" priority="39">
      <formula>CH9="Error"</formula>
    </cfRule>
  </conditionalFormatting>
  <conditionalFormatting sqref="B44:C52">
    <cfRule type="expression" dxfId="37" priority="36">
      <formula>BQ27="Yes"</formula>
    </cfRule>
  </conditionalFormatting>
  <conditionalFormatting sqref="B44:C52">
    <cfRule type="expression" dxfId="36" priority="35">
      <formula>BR27="Yes"</formula>
    </cfRule>
  </conditionalFormatting>
  <conditionalFormatting sqref="C43">
    <cfRule type="expression" dxfId="35" priority="34">
      <formula>BR26="Yes"</formula>
    </cfRule>
  </conditionalFormatting>
  <conditionalFormatting sqref="C43">
    <cfRule type="expression" dxfId="34" priority="33">
      <formula>BS26="Yes"</formula>
    </cfRule>
  </conditionalFormatting>
  <conditionalFormatting sqref="D43:D52">
    <cfRule type="expression" dxfId="33" priority="32">
      <formula>BS26="Yes"</formula>
    </cfRule>
  </conditionalFormatting>
  <conditionalFormatting sqref="D43:D52">
    <cfRule type="expression" dxfId="32" priority="31">
      <formula>BT26="Yes"</formula>
    </cfRule>
  </conditionalFormatting>
  <conditionalFormatting sqref="D44:D52">
    <cfRule type="expression" dxfId="31" priority="30">
      <formula>BS27="Yes"</formula>
    </cfRule>
  </conditionalFormatting>
  <conditionalFormatting sqref="D44:D52">
    <cfRule type="expression" dxfId="30" priority="29">
      <formula>BT27="Yes"</formula>
    </cfRule>
  </conditionalFormatting>
  <conditionalFormatting sqref="F9:F23">
    <cfRule type="expression" dxfId="29" priority="27">
      <formula>CK9="Failed"</formula>
    </cfRule>
  </conditionalFormatting>
  <conditionalFormatting sqref="N6">
    <cfRule type="notContainsBlanks" dxfId="28" priority="26">
      <formula>LEN(TRIM(N6))&gt;0</formula>
    </cfRule>
  </conditionalFormatting>
  <conditionalFormatting sqref="DK10 Y7">
    <cfRule type="containsText" dxfId="27" priority="21" operator="containsText" text="Layout Code &amp; T Post Quantity Issue">
      <formula>NOT(ISERROR(SEARCH("Layout Code &amp; T Post Quantity Issue",Y7)))</formula>
    </cfRule>
  </conditionalFormatting>
  <conditionalFormatting sqref="AA9:AA23">
    <cfRule type="expression" dxfId="26" priority="17">
      <formula>DR9="Error"</formula>
    </cfRule>
  </conditionalFormatting>
  <conditionalFormatting sqref="AB9:AB23">
    <cfRule type="expression" dxfId="25" priority="16">
      <formula>DS9="Error"</formula>
    </cfRule>
  </conditionalFormatting>
  <conditionalFormatting sqref="Z9:Z23">
    <cfRule type="expression" dxfId="24" priority="15">
      <formula>BL9="Error"</formula>
    </cfRule>
  </conditionalFormatting>
  <conditionalFormatting sqref="Z9:Z23">
    <cfRule type="expression" dxfId="23" priority="14">
      <formula>DQ9="Error"</formula>
    </cfRule>
  </conditionalFormatting>
  <conditionalFormatting sqref="O9:O23">
    <cfRule type="expression" dxfId="22" priority="12">
      <formula>DK9="Layout Code &amp; T Post Quantity Issue"</formula>
    </cfRule>
    <cfRule type="expression" dxfId="21" priority="13">
      <formula>CK9="Failed"</formula>
    </cfRule>
  </conditionalFormatting>
  <conditionalFormatting sqref="V9:V23">
    <cfRule type="expression" dxfId="20" priority="11">
      <formula>BF9="Required"</formula>
    </cfRule>
  </conditionalFormatting>
  <conditionalFormatting sqref="M9:M23">
    <cfRule type="expression" dxfId="19" priority="106">
      <formula>CB9="Yes"</formula>
    </cfRule>
  </conditionalFormatting>
  <conditionalFormatting sqref="P9:Q23">
    <cfRule type="expression" dxfId="18" priority="9">
      <formula>AX9="Yes"</formula>
    </cfRule>
  </conditionalFormatting>
  <conditionalFormatting sqref="W9:W23">
    <cfRule type="expression" dxfId="17" priority="8">
      <formula>AV9="Yes"</formula>
    </cfRule>
  </conditionalFormatting>
  <conditionalFormatting sqref="O9:O23">
    <cfRule type="expression" dxfId="16" priority="7">
      <formula>EC9="ERROR"</formula>
    </cfRule>
  </conditionalFormatting>
  <conditionalFormatting sqref="C9:C23">
    <cfRule type="expression" dxfId="15" priority="6">
      <formula>CT9&lt;250</formula>
    </cfRule>
  </conditionalFormatting>
  <conditionalFormatting sqref="D9:D23">
    <cfRule type="expression" dxfId="14" priority="5">
      <formula>ED9&lt;350</formula>
    </cfRule>
  </conditionalFormatting>
  <conditionalFormatting sqref="U9:U23">
    <cfRule type="expression" dxfId="13" priority="4">
      <formula>DY9="Yes"</formula>
    </cfRule>
  </conditionalFormatting>
  <conditionalFormatting sqref="S9">
    <cfRule type="expression" dxfId="12" priority="2">
      <formula>CF9="Yes"</formula>
    </cfRule>
  </conditionalFormatting>
  <conditionalFormatting sqref="U9">
    <cfRule type="expression" dxfId="11" priority="1">
      <formula>DY9="Yes"</formula>
    </cfRule>
  </conditionalFormatting>
  <dataValidations count="33">
    <dataValidation type="list" allowBlank="1" showInputMessage="1" showErrorMessage="1" sqref="AC9:AC23" xr:uid="{00000000-0002-0000-0900-000000000000}">
      <formula1>INDIRECT(BZ9)</formula1>
    </dataValidation>
    <dataValidation type="list" allowBlank="1" showInputMessage="1" showErrorMessage="1" errorTitle="Invalid Entry" error="Invalid Entry" sqref="H9:I23" xr:uid="{00000000-0002-0000-0900-000001000000}">
      <formula1>INDIRECT(SUBSTITUTE(G9," ","_"))</formula1>
    </dataValidation>
    <dataValidation type="list" allowBlank="1" showInputMessage="1" showErrorMessage="1" errorTitle="Invalid Entry" error="Please select from List!" sqref="J9:J23" xr:uid="{00000000-0002-0000-0900-000002000000}">
      <formula1>INDIRECT(SUBSTITUTE(CY9," ","_"))</formula1>
    </dataValidation>
    <dataValidation type="list" allowBlank="1" showInputMessage="1" showErrorMessage="1" errorTitle="Invalid Entry" error="Invalid Entry" sqref="X9:X23" xr:uid="{00000000-0002-0000-0900-000003000000}">
      <formula1>INDIRECT(DF9)</formula1>
    </dataValidation>
    <dataValidation type="list" allowBlank="1" showInputMessage="1" showErrorMessage="1" errorTitle="Invalid Entry" error="Invalid Entry" sqref="R9:R23" xr:uid="{00000000-0002-0000-0900-000004000000}">
      <formula1>INDIRECT(DL9)</formula1>
    </dataValidation>
    <dataValidation type="list" allowBlank="1" showInputMessage="1" showErrorMessage="1" errorTitle="Invalid Entry" error="Invalid Entry" sqref="S9:S23" xr:uid="{00000000-0002-0000-0900-000005000000}">
      <formula1>INDIRECT(DL9)</formula1>
    </dataValidation>
    <dataValidation type="list" allowBlank="1" showInputMessage="1" showErrorMessage="1" errorTitle="Invalid Entry" error="Invalid Entry" sqref="X43:Y52" xr:uid="{00000000-0002-0000-0900-000006000000}">
      <formula1>INDIRECT(SUBSTITUTE(BF43," ","_"))</formula1>
    </dataValidation>
    <dataValidation type="list" allowBlank="1" showInputMessage="1" showErrorMessage="1" errorTitle="Invalid Entry" error="Invalid Entry" sqref="U43:V52" xr:uid="{00000000-0002-0000-0900-000007000000}">
      <formula1>INDIRECT(SUBSTITUTE(BE43," ","_"))</formula1>
    </dataValidation>
    <dataValidation type="list" allowBlank="1" showInputMessage="1" showErrorMessage="1" errorTitle="Invalid Entry" error="Invalid Entry" sqref="W43:W52" xr:uid="{00000000-0002-0000-0900-000008000000}">
      <formula1>INDIRECT(SUBSTITUTE(BF43," ","_"))</formula1>
    </dataValidation>
    <dataValidation type="list" errorStyle="information" allowBlank="1" showInputMessage="1" showErrorMessage="1" errorTitle="Check Special Layout Code" error="The Layout Codes In This List Are The Most Common Codes._x000a__x000a_When Entering A Different Special Code, Please Refer To The Shutter Manual." sqref="O9:O23" xr:uid="{00000000-0002-0000-0900-000009000000}">
      <formula1>INDIRECT(SUBSTITUTE(DT9," ","_"))</formula1>
    </dataValidation>
    <dataValidation type="list" allowBlank="1" showInputMessage="1" showErrorMessage="1" errorTitle="Invalid Entry" error="Invalid Entry" sqref="N9:N23" xr:uid="{00000000-0002-0000-0900-00000A000000}">
      <formula1>INDIRECT(SUBSTITUTE(DU9," ","_"))</formula1>
    </dataValidation>
    <dataValidation type="list" allowBlank="1" showInputMessage="1" showErrorMessage="1" errorTitle="Invalid Entry" error="Invalid Entry" sqref="M9:M23" xr:uid="{00000000-0002-0000-0900-00000B000000}">
      <formula1>INDIRECT(SUBSTITUTE(DV9," ","_"))</formula1>
    </dataValidation>
    <dataValidation type="list" allowBlank="1" showInputMessage="1" showErrorMessage="1" errorTitle="Invalid Entry" error="Invalid Entry" sqref="I43:I52" xr:uid="{00000000-0002-0000-0900-00000C000000}">
      <formula1>INDIRECT(SUBSTITUTE(AZ26," ","_"))</formula1>
    </dataValidation>
    <dataValidation type="list" allowBlank="1" showInputMessage="1" showErrorMessage="1" errorTitle="Invalid Entry" error="Invalid Entry" sqref="K43:L52" xr:uid="{00000000-0002-0000-0900-00000D000000}">
      <formula1>INDIRECT(BA43)</formula1>
    </dataValidation>
    <dataValidation type="list" allowBlank="1" showInputMessage="1" showErrorMessage="1" errorTitle="Invalid Entry" error="Please select from list!" sqref="AU42:AU52" xr:uid="{00000000-0002-0000-0900-00000E000000}">
      <formula1>Pelmet</formula1>
    </dataValidation>
    <dataValidation allowBlank="1" showInputMessage="1" showErrorMessage="1" errorTitle="Invalid Entry" error="Invalid Entry" sqref="AZ9:AZ23 K9:K23 AU9:AU23" xr:uid="{00000000-0002-0000-0900-00000F000000}"/>
    <dataValidation allowBlank="1" sqref="AF1:AF2 AE9:AF23" xr:uid="{00000000-0002-0000-0900-000010000000}"/>
    <dataValidation type="list" allowBlank="1" showInputMessage="1" errorTitle="Invalid Enrty" error="Please select from List!" sqref="Y9:Y23" xr:uid="{00000000-0002-0000-0900-000011000000}">
      <formula1>"1,2,3,4,5,6"</formula1>
    </dataValidation>
    <dataValidation type="list" allowBlank="1" showInputMessage="1" showErrorMessage="1" errorTitle="Invalid Entry" error="Invalid Entry" sqref="N43:T52" xr:uid="{00000000-0002-0000-0900-000012000000}">
      <formula1>Hardware</formula1>
    </dataValidation>
    <dataValidation allowBlank="1" errorTitle="Invalid Entry" error="Invalid Entry" sqref="M26:T40" xr:uid="{00000000-0002-0000-0900-000013000000}"/>
    <dataValidation type="list" allowBlank="1" showInputMessage="1" showErrorMessage="1" errorTitle="Invalid Entry" error="Invalid Entry" sqref="F26:J40" xr:uid="{00000000-0002-0000-0900-000014000000}">
      <formula1>Special_Comments_2</formula1>
    </dataValidation>
    <dataValidation type="list" allowBlank="1" showInputMessage="1" showErrorMessage="1" errorTitle="Invalid Entry" error="Invalid Entry" sqref="G9:G23" xr:uid="{00000000-0002-0000-0900-000015000000}">
      <formula1>ShutterMaterial</formula1>
    </dataValidation>
    <dataValidation type="whole" errorStyle="information" allowBlank="1" showInputMessage="1" showErrorMessage="1" errorTitle="Be Aware" error="Minimum Height is 350mm._x000a__x000a_Maximum Panel Height is 3000mm." sqref="D9:D23" xr:uid="{00000000-0002-0000-0900-000016000000}">
      <formula1>350</formula1>
      <formula2>3000</formula2>
    </dataValidation>
    <dataValidation type="list" allowBlank="1" showInputMessage="1" showErrorMessage="1" sqref="E9:E23" xr:uid="{00000000-0002-0000-0900-000017000000}">
      <formula1>"IN,OUT,MS"</formula1>
    </dataValidation>
    <dataValidation type="list" allowBlank="1" showInputMessage="1" showErrorMessage="1" errorTitle="Invalid Entry" error="Invalid Entry" sqref="B26:E40" xr:uid="{00000000-0002-0000-0900-000018000000}">
      <formula1>Special_Comments_1</formula1>
    </dataValidation>
    <dataValidation type="whole" errorStyle="warning" allowBlank="1" showInputMessage="1" showErrorMessage="1" errorTitle="Length Warning" error="Please note that only Fascia's are able to be made greater than 3000mm in length._x000a__x000a_Fascia's can be made to a maximum of 3600mm." sqref="C43:C52" xr:uid="{00000000-0002-0000-0900-000019000000}">
      <formula1>0</formula1>
      <formula2>3000</formula2>
    </dataValidation>
    <dataValidation type="list" allowBlank="1" showInputMessage="1" showErrorMessage="1" errorTitle="Invalid Entry" error="Invalid Entry" sqref="K26:L40" xr:uid="{00000000-0002-0000-0900-00001A000000}">
      <formula1>Special_Comments_3</formula1>
    </dataValidation>
    <dataValidation type="list" allowBlank="1" showInputMessage="1" showErrorMessage="1" errorTitle="Invalid Entry" error="Invalid Entry" sqref="D43:D52" xr:uid="{00000000-0002-0000-0900-00001B000000}">
      <formula1>Extras</formula1>
    </dataValidation>
    <dataValidation type="list" allowBlank="1" showInputMessage="1" showErrorMessage="1" errorTitle="Invalid Entry" error="Invalid Entry" sqref="W9:W23" xr:uid="{00000000-0002-0000-0900-00001C000000}">
      <formula1>INDIRECT(AY9)</formula1>
    </dataValidation>
    <dataValidation type="whole" errorStyle="information" allowBlank="1" showInputMessage="1" showErrorMessage="1" errorTitle="Be Aware" error="Minimum Panel Width is 250mm._x000a__x000a_Maximum Panel Width is determined by Material Type &amp; Mounting Method." sqref="C9:C23" xr:uid="{00000000-0002-0000-0900-00001D000000}">
      <formula1>250</formula1>
      <formula2>3600</formula2>
    </dataValidation>
    <dataValidation type="list" allowBlank="1" showInputMessage="1" showErrorMessage="1" errorTitle="Invalid Entry" error="Invalid Entry" sqref="T9:U23" xr:uid="{00000000-0002-0000-0900-00001E000000}">
      <formula1>INDIRECT(EE9)</formula1>
    </dataValidation>
    <dataValidation type="list" allowBlank="1" showInputMessage="1" showErrorMessage="1" errorTitle="Invalid Entry" error="Invalid Entry" sqref="V9:V23" xr:uid="{00000000-0002-0000-0900-00001F000000}">
      <formula1>INDIRECT(EI9)</formula1>
    </dataValidation>
    <dataValidation type="list" allowBlank="1" showInputMessage="1" showErrorMessage="1" errorTitle="Invalid Entry" error="Invalid Entry" sqref="P9:Q23" xr:uid="{00000000-0002-0000-0900-000020000000}">
      <formula1>INDIRECT(EX9)</formula1>
    </dataValidation>
  </dataValidations>
  <printOptions horizontalCentered="1"/>
  <pageMargins left="0.17" right="0.17" top="0.21" bottom="0.21" header="0.17" footer="0.17"/>
  <pageSetup paperSize="9" scale="44"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pageSetUpPr fitToPage="1"/>
  </sheetPr>
  <dimension ref="A1:ABY234"/>
  <sheetViews>
    <sheetView topLeftCell="OD1" zoomScale="130" zoomScaleNormal="130" workbookViewId="0">
      <selection activeCell="OL34" sqref="OL34"/>
    </sheetView>
  </sheetViews>
  <sheetFormatPr defaultColWidth="9.140625" defaultRowHeight="12.75"/>
  <cols>
    <col min="1" max="1" width="24.140625" customWidth="1"/>
    <col min="2" max="2" width="3" customWidth="1"/>
    <col min="3" max="3" width="8.85546875" customWidth="1"/>
    <col min="4" max="4" width="12.140625" customWidth="1"/>
    <col min="5" max="5" width="9.42578125" customWidth="1"/>
    <col min="6" max="6" width="13.5703125" customWidth="1"/>
    <col min="7" max="7" width="16.7109375" customWidth="1"/>
    <col min="8" max="8" width="20.140625" customWidth="1"/>
    <col min="9" max="9" width="3.28515625" customWidth="1"/>
    <col min="10" max="10" width="8.140625" customWidth="1"/>
    <col min="11" max="11" width="25" customWidth="1"/>
    <col min="12" max="12" width="29.7109375" customWidth="1"/>
    <col min="13" max="13" width="8.28515625" customWidth="1"/>
    <col min="14" max="14" width="20.7109375" customWidth="1"/>
    <col min="15" max="15" width="12.7109375" customWidth="1"/>
    <col min="16" max="16" width="12.140625" customWidth="1"/>
    <col min="17" max="17" width="5" customWidth="1"/>
    <col min="18" max="18" width="21.7109375" customWidth="1"/>
    <col min="19" max="19" width="17" customWidth="1"/>
    <col min="20" max="20" width="9.85546875" customWidth="1"/>
    <col min="21" max="21" width="34.5703125" customWidth="1"/>
    <col min="22" max="22" width="77.85546875" customWidth="1"/>
    <col min="23" max="23" width="21.7109375" bestFit="1" customWidth="1"/>
    <col min="24" max="24" width="3.42578125" customWidth="1"/>
    <col min="25" max="27" width="20.7109375" customWidth="1"/>
    <col min="28" max="28" width="27.140625" customWidth="1"/>
    <col min="29" max="29" width="21.140625" customWidth="1"/>
    <col min="30" max="30" width="19.140625" customWidth="1"/>
    <col min="31" max="31" width="23.85546875" customWidth="1"/>
    <col min="32" max="32" width="49.7109375" customWidth="1"/>
    <col min="33" max="33" width="3.85546875" customWidth="1"/>
    <col min="34" max="34" width="49.7109375" customWidth="1"/>
    <col min="35" max="36" width="19.140625" customWidth="1"/>
    <col min="37" max="37" width="22.85546875" customWidth="1"/>
    <col min="38" max="38" width="22.28515625" customWidth="1"/>
    <col min="39" max="39" width="9.140625" customWidth="1"/>
    <col min="40" max="41" width="19.5703125" customWidth="1"/>
    <col min="42" max="44" width="34.28515625" customWidth="1"/>
    <col min="45" max="46" width="9.140625" customWidth="1"/>
    <col min="47" max="47" width="22.140625" customWidth="1"/>
    <col min="48" max="48" width="9.140625" customWidth="1"/>
    <col min="49" max="49" width="122.42578125" customWidth="1"/>
    <col min="50" max="50" width="9.140625" customWidth="1"/>
    <col min="51" max="51" width="18" customWidth="1"/>
    <col min="52" max="52" width="9.140625" customWidth="1"/>
    <col min="53" max="53" width="34.7109375" customWidth="1"/>
    <col min="54" max="54" width="43.28515625" customWidth="1"/>
    <col min="55" max="55" width="19" customWidth="1"/>
    <col min="56" max="56" width="30.28515625" customWidth="1"/>
    <col min="57" max="58" width="18.85546875" customWidth="1"/>
    <col min="59" max="60" width="22.5703125" customWidth="1"/>
    <col min="61" max="61" width="16.28515625" customWidth="1"/>
    <col min="62" max="62" width="19.7109375" customWidth="1"/>
    <col min="63" max="63" width="18.7109375" customWidth="1"/>
    <col min="64" max="64" width="9.140625" customWidth="1"/>
    <col min="65" max="65" width="76" customWidth="1"/>
    <col min="66" max="66" width="9.140625" customWidth="1"/>
    <col min="67" max="67" width="10.140625" customWidth="1"/>
    <col min="68" max="68" width="10.5703125" customWidth="1"/>
    <col min="69" max="69" width="19.28515625" customWidth="1"/>
    <col min="70" max="70" width="9.140625" customWidth="1"/>
    <col min="71" max="71" width="13.140625" customWidth="1"/>
    <col min="72" max="72" width="11.7109375" customWidth="1"/>
    <col min="73" max="73" width="24" customWidth="1"/>
    <col min="74" max="74" width="9.140625" customWidth="1"/>
    <col min="75" max="75" width="14.5703125" customWidth="1"/>
    <col min="76" max="76" width="9.140625" customWidth="1"/>
    <col min="77" max="77" width="20.85546875" customWidth="1"/>
    <col min="78" max="78" width="9.140625" customWidth="1"/>
    <col min="79" max="79" width="20.85546875" customWidth="1"/>
    <col min="80" max="81" width="9.140625" customWidth="1"/>
    <col min="82" max="82" width="24.42578125" customWidth="1"/>
    <col min="83" max="83" width="22" customWidth="1"/>
    <col min="84" max="86" width="17.85546875" customWidth="1"/>
    <col min="87" max="90" width="9.140625" customWidth="1"/>
    <col min="91" max="91" width="10.5703125" customWidth="1"/>
    <col min="92" max="92" width="12.85546875" customWidth="1"/>
    <col min="93" max="93" width="18" customWidth="1"/>
    <col min="94" max="96" width="9.140625" customWidth="1"/>
    <col min="97" max="97" width="15" customWidth="1"/>
    <col min="98" max="98" width="29.7109375" customWidth="1"/>
    <col min="99" max="99" width="17.7109375" customWidth="1"/>
    <col min="100" max="100" width="16.5703125" customWidth="1"/>
    <col min="101" max="101" width="17.85546875" customWidth="1"/>
    <col min="102" max="105" width="17.7109375" customWidth="1"/>
    <col min="106" max="107" width="9.140625" customWidth="1"/>
    <col min="108" max="108" width="12" customWidth="1"/>
    <col min="109" max="109" width="19.7109375" customWidth="1"/>
    <col min="110" max="110" width="9.140625" customWidth="1"/>
    <col min="111" max="111" width="21" customWidth="1"/>
    <col min="112" max="112" width="9.140625" customWidth="1"/>
    <col min="113" max="115" width="24.28515625" customWidth="1"/>
    <col min="116" max="116" width="14.5703125" customWidth="1"/>
    <col min="117" max="118" width="9.140625" customWidth="1"/>
    <col min="119" max="119" width="20.5703125" customWidth="1"/>
    <col min="120" max="120" width="15.140625" customWidth="1"/>
    <col min="121" max="121" width="15.5703125" customWidth="1"/>
    <col min="122" max="122" width="11.140625" style="187" customWidth="1"/>
    <col min="123" max="123" width="18.140625" style="187" customWidth="1"/>
    <col min="124" max="124" width="17.5703125" style="187" customWidth="1"/>
    <col min="125" max="125" width="14.140625" style="187" customWidth="1"/>
    <col min="126" max="126" width="11" style="187" customWidth="1"/>
    <col min="127" max="127" width="16.28515625" style="187" customWidth="1"/>
    <col min="128" max="128" width="9.140625" customWidth="1"/>
    <col min="129" max="129" width="14.140625" style="187" customWidth="1"/>
    <col min="130" max="130" width="16.7109375" style="187" customWidth="1"/>
    <col min="131" max="131" width="16.140625" style="187" customWidth="1"/>
    <col min="132" max="132" width="9.7109375" style="187" customWidth="1"/>
    <col min="133" max="133" width="11" style="187" customWidth="1"/>
    <col min="134" max="134" width="15" style="187" customWidth="1"/>
    <col min="135" max="135" width="9.140625" style="187" customWidth="1"/>
    <col min="136" max="136" width="9.140625" customWidth="1"/>
    <col min="137" max="137" width="11" customWidth="1"/>
    <col min="138" max="139" width="9.140625" customWidth="1"/>
    <col min="140" max="140" width="15.42578125" customWidth="1"/>
    <col min="141" max="141" width="9.140625" customWidth="1"/>
    <col min="142" max="142" width="47.140625" customWidth="1"/>
    <col min="143" max="145" width="55.5703125" bestFit="1" customWidth="1"/>
    <col min="146" max="146" width="9.140625" customWidth="1"/>
    <col min="147" max="147" width="25.5703125" customWidth="1"/>
    <col min="148" max="148" width="24.42578125" customWidth="1"/>
    <col min="149" max="149" width="27" customWidth="1"/>
    <col min="150" max="150" width="24.140625" customWidth="1"/>
    <col min="151" max="151" width="17.5703125" customWidth="1"/>
    <col min="152" max="152" width="9.140625" customWidth="1"/>
    <col min="153" max="153" width="15.42578125" customWidth="1"/>
    <col min="154" max="154" width="15.28515625" customWidth="1"/>
    <col min="155" max="155" width="23.85546875" customWidth="1"/>
    <col min="156" max="156" width="9.140625" customWidth="1"/>
    <col min="157" max="157" width="27.28515625" customWidth="1"/>
    <col min="158" max="158" width="18.85546875" customWidth="1"/>
    <col min="159" max="159" width="21" customWidth="1"/>
    <col min="160" max="161" width="9.140625" customWidth="1"/>
    <col min="162" max="162" width="67.7109375" bestFit="1" customWidth="1"/>
    <col min="163" max="164" width="42.28515625" customWidth="1"/>
    <col min="165" max="165" width="23.42578125" customWidth="1"/>
    <col min="166" max="166" width="25.140625" customWidth="1"/>
    <col min="167" max="167" width="27" customWidth="1"/>
    <col min="168" max="168" width="24.85546875" customWidth="1"/>
    <col min="169" max="170" width="23" customWidth="1"/>
    <col min="171" max="171" width="27" customWidth="1"/>
    <col min="172" max="172" width="44.5703125" customWidth="1"/>
    <col min="173" max="173" width="9.140625" customWidth="1"/>
    <col min="174" max="174" width="40.7109375" customWidth="1"/>
    <col min="175" max="176" width="38" customWidth="1"/>
    <col min="177" max="177" width="36.85546875" customWidth="1"/>
    <col min="178" max="180" width="40.7109375" customWidth="1"/>
    <col min="181" max="181" width="34.28515625" customWidth="1"/>
    <col min="182" max="182" width="27.7109375" customWidth="1"/>
    <col min="183" max="183" width="34.7109375" customWidth="1"/>
    <col min="184" max="184" width="28.140625" customWidth="1"/>
    <col min="185" max="185" width="20.42578125" customWidth="1"/>
    <col min="186" max="187" width="30.28515625" customWidth="1"/>
    <col min="188" max="188" width="30.85546875" customWidth="1"/>
    <col min="189" max="189" width="29.140625" customWidth="1"/>
    <col min="190" max="190" width="32.42578125" customWidth="1"/>
    <col min="191" max="193" width="30.28515625" customWidth="1"/>
    <col min="194" max="194" width="22.5703125" customWidth="1"/>
    <col min="195" max="196" width="34.85546875" customWidth="1"/>
    <col min="197" max="197" width="49.5703125" customWidth="1"/>
    <col min="198" max="198" width="28.28515625" customWidth="1"/>
    <col min="199" max="199" width="20.5703125" customWidth="1"/>
    <col min="200" max="200" width="13.7109375" customWidth="1"/>
    <col min="201" max="201" width="49.7109375" bestFit="1" customWidth="1"/>
    <col min="202" max="202" width="41.42578125" customWidth="1"/>
    <col min="203" max="204" width="30.42578125" customWidth="1"/>
    <col min="205" max="205" width="18.42578125" customWidth="1"/>
    <col min="206" max="206" width="61.28515625" bestFit="1" customWidth="1"/>
    <col min="207" max="207" width="58" customWidth="1"/>
    <col min="208" max="208" width="43.28515625" customWidth="1"/>
    <col min="209" max="209" width="12.42578125" customWidth="1"/>
    <col min="210" max="210" width="14.85546875" customWidth="1"/>
    <col min="211" max="211" width="19.5703125" customWidth="1"/>
    <col min="212" max="212" width="13.140625" customWidth="1"/>
    <col min="213" max="213" width="13.28515625" customWidth="1"/>
    <col min="214" max="214" width="27.28515625" customWidth="1"/>
    <col min="215" max="215" width="21.42578125" customWidth="1"/>
    <col min="216" max="216" width="12.7109375" customWidth="1"/>
    <col min="217" max="217" width="13.5703125" customWidth="1"/>
    <col min="218" max="218" width="12.5703125" customWidth="1"/>
    <col min="219" max="219" width="17.7109375" customWidth="1"/>
    <col min="220" max="220" width="16.28515625" customWidth="1"/>
    <col min="221" max="222" width="19" customWidth="1"/>
    <col min="223" max="223" width="11.7109375" customWidth="1"/>
    <col min="224" max="224" width="14.7109375" customWidth="1"/>
    <col min="225" max="226" width="18.85546875" customWidth="1"/>
    <col min="227" max="227" width="14" customWidth="1"/>
    <col min="228" max="228" width="16.28515625" customWidth="1"/>
    <col min="229" max="229" width="20.42578125" customWidth="1"/>
    <col min="230" max="230" width="9.140625" customWidth="1"/>
    <col min="231" max="231" width="36.85546875" bestFit="1" customWidth="1"/>
    <col min="232" max="232" width="36.85546875" customWidth="1"/>
    <col min="233" max="233" width="24.85546875" customWidth="1"/>
    <col min="234" max="234" width="36.140625" customWidth="1"/>
    <col min="235" max="235" width="36.85546875" customWidth="1"/>
    <col min="236" max="236" width="11.85546875" customWidth="1"/>
    <col min="237" max="238" width="35.42578125" customWidth="1"/>
    <col min="239" max="239" width="10.5703125" customWidth="1"/>
    <col min="240" max="240" width="12.85546875" customWidth="1"/>
    <col min="241" max="241" width="19.85546875" customWidth="1"/>
    <col min="242" max="243" width="18.85546875" customWidth="1"/>
    <col min="244" max="244" width="12.140625" customWidth="1"/>
    <col min="245" max="245" width="9" customWidth="1"/>
    <col min="246" max="246" width="16.85546875" customWidth="1"/>
    <col min="247" max="247" width="14.5703125" customWidth="1"/>
    <col min="248" max="248" width="28" customWidth="1"/>
    <col min="249" max="249" width="13.7109375" customWidth="1"/>
    <col min="250" max="250" width="14.42578125" customWidth="1"/>
    <col min="251" max="251" width="9.5703125" customWidth="1"/>
    <col min="252" max="252" width="13.85546875" customWidth="1"/>
    <col min="253" max="253" width="19.85546875" customWidth="1"/>
    <col min="254" max="254" width="21" customWidth="1"/>
    <col min="255" max="255" width="21.85546875" customWidth="1"/>
    <col min="256" max="256" width="25.140625" bestFit="1" customWidth="1"/>
    <col min="257" max="257" width="25" bestFit="1" customWidth="1"/>
    <col min="258" max="258" width="27.28515625" customWidth="1"/>
    <col min="259" max="259" width="23.85546875" customWidth="1"/>
    <col min="260" max="260" width="14.85546875" customWidth="1"/>
    <col min="261" max="261" width="9.140625" customWidth="1"/>
    <col min="262" max="262" width="11.5703125" customWidth="1"/>
    <col min="263" max="263" width="17.42578125" customWidth="1"/>
    <col min="264" max="264" width="14.7109375" customWidth="1"/>
    <col min="265" max="265" width="13" customWidth="1"/>
    <col min="266" max="266" width="13.28515625" customWidth="1"/>
    <col min="267" max="267" width="14.85546875" customWidth="1"/>
    <col min="268" max="275" width="12.7109375" customWidth="1"/>
    <col min="276" max="276" width="26.28515625" customWidth="1"/>
    <col min="277" max="283" width="12.7109375" customWidth="1"/>
    <col min="284" max="284" width="9.140625" customWidth="1"/>
    <col min="285" max="285" width="38.42578125" customWidth="1"/>
    <col min="286" max="286" width="36.140625" customWidth="1"/>
    <col min="287" max="287" width="9.140625" customWidth="1"/>
    <col min="288" max="288" width="29.140625" customWidth="1"/>
    <col min="289" max="289" width="26.42578125" customWidth="1"/>
    <col min="290" max="290" width="24.140625" customWidth="1"/>
    <col min="291" max="291" width="9.140625" customWidth="1"/>
    <col min="292" max="292" width="16" customWidth="1"/>
    <col min="293" max="293" width="37.140625" customWidth="1"/>
    <col min="294" max="296" width="9.140625" customWidth="1"/>
    <col min="297" max="297" width="17.42578125" customWidth="1"/>
    <col min="298" max="298" width="9.140625" customWidth="1"/>
    <col min="299" max="299" width="31" customWidth="1"/>
    <col min="300" max="301" width="17.42578125" customWidth="1"/>
    <col min="302" max="302" width="21.7109375" customWidth="1"/>
    <col min="303" max="303" width="49.7109375" customWidth="1"/>
    <col min="304" max="304" width="31.7109375" customWidth="1"/>
    <col min="305" max="305" width="27.5703125" customWidth="1"/>
    <col min="306" max="306" width="23.42578125" customWidth="1"/>
    <col min="307" max="307" width="9.140625" customWidth="1"/>
    <col min="308" max="308" width="49.7109375" customWidth="1"/>
    <col min="309" max="309" width="9.140625" customWidth="1"/>
    <col min="310" max="310" width="14.85546875" customWidth="1"/>
    <col min="311" max="311" width="22.5703125" customWidth="1"/>
    <col min="312" max="312" width="11" customWidth="1"/>
    <col min="313" max="313" width="11.7109375" customWidth="1"/>
    <col min="314" max="314" width="16" customWidth="1"/>
    <col min="315" max="315" width="13.28515625" customWidth="1"/>
    <col min="316" max="316" width="24.28515625" customWidth="1"/>
    <col min="317" max="321" width="9.140625" customWidth="1"/>
    <col min="322" max="322" width="15.28515625" customWidth="1"/>
    <col min="323" max="326" width="9.140625" customWidth="1"/>
    <col min="327" max="327" width="17.7109375" customWidth="1"/>
    <col min="328" max="328" width="33.85546875" customWidth="1"/>
    <col min="329" max="329" width="32" customWidth="1"/>
    <col min="330" max="330" width="49.7109375" customWidth="1"/>
    <col min="331" max="331" width="33.85546875" customWidth="1"/>
    <col min="332" max="332" width="33" customWidth="1"/>
    <col min="333" max="333" width="48.85546875" customWidth="1"/>
    <col min="334" max="334" width="8.42578125" customWidth="1"/>
    <col min="335" max="335" width="47.140625" customWidth="1"/>
    <col min="336" max="340" width="27.42578125" style="187" customWidth="1"/>
    <col min="341" max="341" width="18" customWidth="1"/>
    <col min="342" max="342" width="12.28515625" style="187" customWidth="1"/>
    <col min="343" max="345" width="20.5703125" style="187" customWidth="1"/>
    <col min="346" max="346" width="33.85546875" customWidth="1"/>
    <col min="347" max="347" width="32" customWidth="1"/>
    <col min="348" max="348" width="26.42578125" customWidth="1"/>
    <col min="349" max="349" width="20.5703125" customWidth="1"/>
    <col min="350" max="350" width="9.42578125" customWidth="1"/>
    <col min="351" max="351" width="12.28515625" customWidth="1"/>
    <col min="352" max="352" width="23.7109375" customWidth="1"/>
    <col min="353" max="354" width="12.28515625" customWidth="1"/>
    <col min="355" max="358" width="9.140625" customWidth="1"/>
    <col min="359" max="359" width="15.140625" customWidth="1"/>
    <col min="360" max="361" width="9.140625" customWidth="1"/>
    <col min="362" max="362" width="21.42578125" customWidth="1"/>
    <col min="363" max="377" width="9.140625" customWidth="1"/>
    <col min="378" max="378" width="18.7109375" customWidth="1"/>
    <col min="379" max="379" width="20.140625" customWidth="1"/>
    <col min="380" max="380" width="23.28515625" customWidth="1"/>
    <col min="381" max="381" width="23.7109375" customWidth="1"/>
    <col min="382" max="382" width="26.140625" customWidth="1"/>
    <col min="383" max="383" width="25.7109375" customWidth="1"/>
    <col min="384" max="384" width="28" customWidth="1"/>
    <col min="385" max="385" width="23.5703125" customWidth="1"/>
    <col min="386" max="386" width="26" customWidth="1"/>
    <col min="387" max="387" width="26.5703125" customWidth="1"/>
    <col min="388" max="388" width="23.5703125" customWidth="1"/>
    <col min="389" max="389" width="26.28515625" customWidth="1"/>
    <col min="390" max="390" width="20.5703125" customWidth="1"/>
    <col min="391" max="391" width="18.140625" customWidth="1"/>
    <col min="392" max="392" width="22.5703125" customWidth="1"/>
    <col min="393" max="393" width="17.140625" customWidth="1"/>
    <col min="394" max="394" width="16.42578125" customWidth="1"/>
    <col min="395" max="395" width="14.28515625" customWidth="1"/>
    <col min="396" max="396" width="31" customWidth="1"/>
    <col min="397" max="397" width="31" bestFit="1" customWidth="1"/>
    <col min="398" max="398" width="13" customWidth="1"/>
    <col min="399" max="401" width="9.140625" customWidth="1"/>
    <col min="402" max="402" width="20.85546875" customWidth="1"/>
    <col min="403" max="417" width="9.140625" customWidth="1"/>
    <col min="418" max="418" width="7.140625" customWidth="1"/>
    <col min="419" max="419" width="19" customWidth="1"/>
    <col min="420" max="420" width="21.7109375" customWidth="1"/>
    <col min="421" max="421" width="10.42578125" customWidth="1"/>
    <col min="422" max="422" width="7.7109375" customWidth="1"/>
    <col min="423" max="423" width="10.5703125" customWidth="1"/>
    <col min="424" max="424" width="7.7109375" customWidth="1"/>
    <col min="425" max="425" width="19" customWidth="1"/>
    <col min="426" max="426" width="21.7109375" customWidth="1"/>
    <col min="427" max="427" width="9.85546875" customWidth="1"/>
    <col min="428" max="428" width="7.140625" customWidth="1"/>
    <col min="429" max="436" width="9.140625" customWidth="1"/>
    <col min="437" max="437" width="47.5703125" customWidth="1"/>
    <col min="438" max="438" width="24" customWidth="1"/>
    <col min="439" max="439" width="23.42578125" customWidth="1"/>
    <col min="440" max="440" width="19.85546875" customWidth="1"/>
    <col min="441" max="441" width="23.28515625" customWidth="1"/>
    <col min="442" max="442" width="24.7109375" customWidth="1"/>
    <col min="443" max="443" width="19.42578125" customWidth="1"/>
    <col min="444" max="445" width="24.7109375" customWidth="1"/>
    <col min="446" max="446" width="19.42578125" customWidth="1"/>
    <col min="447" max="447" width="23.140625" customWidth="1"/>
    <col min="448" max="448" width="20.42578125" customWidth="1"/>
    <col min="449" max="449" width="30" customWidth="1"/>
    <col min="450" max="450" width="33.28515625" customWidth="1"/>
    <col min="451" max="451" width="9.140625" customWidth="1"/>
    <col min="452" max="452" width="12.5703125" customWidth="1"/>
    <col min="453" max="453" width="49.42578125" bestFit="1" customWidth="1"/>
    <col min="454" max="454" width="56" customWidth="1"/>
    <col min="455" max="455" width="20.85546875" customWidth="1"/>
    <col min="456" max="456" width="49.85546875" customWidth="1"/>
    <col min="457" max="457" width="58.85546875" customWidth="1"/>
    <col min="458" max="458" width="50.5703125" customWidth="1"/>
    <col min="459" max="459" width="51.7109375" customWidth="1"/>
    <col min="460" max="460" width="48.85546875" customWidth="1"/>
    <col min="461" max="461" width="44.5703125" customWidth="1"/>
    <col min="462" max="462" width="43.85546875" customWidth="1"/>
    <col min="463" max="463" width="46.28515625" customWidth="1"/>
    <col min="464" max="464" width="35.5703125" bestFit="1" customWidth="1"/>
    <col min="465" max="465" width="36.85546875" bestFit="1" customWidth="1"/>
    <col min="466" max="469" width="9.140625" customWidth="1"/>
    <col min="470" max="470" width="35.42578125" bestFit="1" customWidth="1"/>
    <col min="471" max="471" width="31.140625" customWidth="1"/>
    <col min="472" max="472" width="20.85546875" customWidth="1"/>
    <col min="473" max="473" width="27.7109375" customWidth="1"/>
    <col min="474" max="475" width="20.85546875" customWidth="1"/>
    <col min="476" max="476" width="29.140625" customWidth="1"/>
    <col min="477" max="478" width="20.85546875" customWidth="1"/>
    <col min="479" max="479" width="29.140625" customWidth="1"/>
    <col min="480" max="482" width="20.85546875" customWidth="1"/>
    <col min="483" max="488" width="9.140625" customWidth="1"/>
    <col min="489" max="490" width="27.5703125" customWidth="1"/>
    <col min="491" max="491" width="22" customWidth="1"/>
    <col min="492" max="492" width="20.85546875" customWidth="1"/>
    <col min="493" max="498" width="9.140625" customWidth="1"/>
    <col min="499" max="499" width="46.140625" customWidth="1"/>
    <col min="500" max="500" width="56" customWidth="1"/>
    <col min="501" max="502" width="40.140625" customWidth="1"/>
    <col min="503" max="504" width="39.85546875" customWidth="1"/>
    <col min="505" max="506" width="40.5703125" customWidth="1"/>
    <col min="507" max="507" width="45.5703125" bestFit="1" customWidth="1"/>
    <col min="508" max="508" width="42.7109375" customWidth="1"/>
    <col min="509" max="509" width="41.140625" customWidth="1"/>
    <col min="510" max="510" width="42.7109375" customWidth="1"/>
    <col min="511" max="511" width="41.140625" customWidth="1"/>
    <col min="512" max="512" width="39.85546875" customWidth="1"/>
    <col min="513" max="513" width="43.140625" customWidth="1"/>
    <col min="514" max="514" width="40.7109375" customWidth="1"/>
    <col min="515" max="521" width="9.140625" customWidth="1"/>
    <col min="522" max="522" width="39.28515625" bestFit="1" customWidth="1"/>
    <col min="523" max="532" width="40.5703125" customWidth="1"/>
    <col min="533" max="533" width="43.7109375" customWidth="1"/>
    <col min="534" max="546" width="40.5703125" customWidth="1"/>
    <col min="547" max="547" width="52.140625" customWidth="1"/>
    <col min="548" max="548" width="42.140625" customWidth="1"/>
    <col min="549" max="549" width="49.5703125" customWidth="1"/>
    <col min="550" max="552" width="47" customWidth="1"/>
    <col min="553" max="554" width="47.7109375" customWidth="1"/>
    <col min="555" max="555" width="46.5703125" customWidth="1"/>
    <col min="556" max="556" width="49.7109375" customWidth="1"/>
    <col min="557" max="557" width="48.28515625" customWidth="1"/>
    <col min="558" max="558" width="55.85546875" customWidth="1"/>
    <col min="559" max="559" width="48.28515625" customWidth="1"/>
    <col min="560" max="560" width="47" customWidth="1"/>
    <col min="561" max="561" width="48.42578125" customWidth="1"/>
    <col min="562" max="564" width="9.140625" customWidth="1"/>
    <col min="565" max="565" width="43.85546875" customWidth="1"/>
    <col min="566" max="566" width="31.28515625" customWidth="1"/>
    <col min="567" max="567" width="21.7109375" customWidth="1"/>
    <col min="568" max="568" width="71.7109375" bestFit="1" customWidth="1"/>
    <col min="569" max="569" width="92.42578125" customWidth="1"/>
    <col min="570" max="570" width="23.140625" customWidth="1"/>
    <col min="571" max="571" width="23.85546875" customWidth="1"/>
    <col min="572" max="572" width="70.5703125" bestFit="1" customWidth="1"/>
    <col min="573" max="573" width="21" customWidth="1"/>
    <col min="574" max="574" width="21.85546875" customWidth="1"/>
    <col min="575" max="575" width="32.140625" customWidth="1"/>
    <col min="576" max="576" width="87.85546875" bestFit="1" customWidth="1"/>
    <col min="577" max="577" width="43.85546875" customWidth="1"/>
    <col min="578" max="578" width="22.28515625" bestFit="1" customWidth="1"/>
    <col min="579" max="583" width="9.140625" customWidth="1"/>
    <col min="584" max="584" width="28.42578125" bestFit="1" customWidth="1"/>
    <col min="585" max="585" width="32" customWidth="1"/>
    <col min="586" max="587" width="31.85546875" customWidth="1"/>
    <col min="588" max="588" width="42.140625" bestFit="1" customWidth="1"/>
    <col min="589" max="589" width="33" customWidth="1"/>
    <col min="590" max="590" width="41.28515625" customWidth="1"/>
    <col min="591" max="591" width="27.7109375" customWidth="1"/>
    <col min="592" max="592" width="30.140625" customWidth="1"/>
    <col min="593" max="593" width="37.28515625" customWidth="1"/>
    <col min="594" max="594" width="28.28515625" customWidth="1"/>
    <col min="595" max="595" width="29" customWidth="1"/>
    <col min="596" max="596" width="39.42578125" customWidth="1"/>
    <col min="597" max="597" width="26.28515625" customWidth="1"/>
    <col min="598" max="598" width="31.140625" customWidth="1"/>
    <col min="599" max="599" width="37.28515625" customWidth="1"/>
    <col min="600" max="600" width="27.7109375" customWidth="1"/>
    <col min="601" max="601" width="30" customWidth="1"/>
    <col min="602" max="602" width="38.5703125" bestFit="1" customWidth="1"/>
    <col min="603" max="603" width="39.28515625" bestFit="1" customWidth="1"/>
    <col min="604" max="604" width="49" bestFit="1" customWidth="1"/>
    <col min="605" max="605" width="40" bestFit="1" customWidth="1"/>
    <col min="606" max="606" width="40.7109375" bestFit="1" customWidth="1"/>
    <col min="607" max="607" width="50.5703125" bestFit="1" customWidth="1"/>
    <col min="608" max="608" width="38" bestFit="1" customWidth="1"/>
    <col min="609" max="609" width="38.7109375" bestFit="1" customWidth="1"/>
    <col min="610" max="610" width="48.42578125" bestFit="1" customWidth="1"/>
    <col min="611" max="611" width="39.42578125" bestFit="1" customWidth="1"/>
    <col min="612" max="612" width="41.5703125" bestFit="1" customWidth="1"/>
    <col min="613" max="613" width="27.42578125" customWidth="1"/>
    <col min="614" max="614" width="29.85546875" customWidth="1"/>
    <col min="615" max="615" width="38" customWidth="1"/>
    <col min="616" max="616" width="28.85546875" customWidth="1"/>
    <col min="617" max="617" width="29.7109375" customWidth="1"/>
    <col min="618" max="618" width="39.42578125" customWidth="1"/>
    <col min="619" max="619" width="26.85546875" customWidth="1"/>
    <col min="620" max="620" width="31.140625" customWidth="1"/>
    <col min="621" max="621" width="37.28515625" customWidth="1"/>
    <col min="622" max="622" width="28.28515625" customWidth="1"/>
    <col min="623" max="623" width="30.5703125" customWidth="1"/>
    <col min="624" max="628" width="9.140625" customWidth="1"/>
    <col min="629" max="629" width="21.28515625" customWidth="1"/>
    <col min="630" max="632" width="38.42578125" customWidth="1"/>
    <col min="633" max="633" width="39" customWidth="1"/>
    <col min="634" max="634" width="45" customWidth="1"/>
    <col min="635" max="640" width="9.140625" customWidth="1"/>
    <col min="641" max="641" width="18" customWidth="1"/>
    <col min="642" max="642" width="9.140625" customWidth="1"/>
    <col min="643" max="643" width="39.28515625" bestFit="1" customWidth="1"/>
    <col min="644" max="644" width="17.85546875" customWidth="1"/>
    <col min="645" max="645" width="19.7109375" bestFit="1" customWidth="1"/>
    <col min="646" max="646" width="25.7109375" bestFit="1" customWidth="1"/>
    <col min="647" max="649" width="25.7109375" customWidth="1"/>
    <col min="650" max="650" width="20.5703125" customWidth="1"/>
    <col min="651" max="652" width="17.42578125" customWidth="1"/>
    <col min="653" max="653" width="18.85546875" customWidth="1"/>
    <col min="654" max="654" width="17.7109375" customWidth="1"/>
    <col min="655" max="655" width="20.7109375" customWidth="1"/>
    <col min="656" max="656" width="18.5703125" customWidth="1"/>
    <col min="657" max="657" width="22.28515625" bestFit="1" customWidth="1"/>
    <col min="658" max="658" width="25" bestFit="1" customWidth="1"/>
    <col min="659" max="659" width="24.85546875" bestFit="1" customWidth="1"/>
    <col min="660" max="660" width="19.7109375" bestFit="1" customWidth="1"/>
    <col min="661" max="661" width="23.5703125" bestFit="1" customWidth="1"/>
    <col min="662" max="662" width="21.7109375" bestFit="1" customWidth="1"/>
    <col min="663" max="663" width="18.7109375" bestFit="1" customWidth="1"/>
    <col min="664" max="664" width="16.42578125" bestFit="1" customWidth="1"/>
    <col min="665" max="665" width="16.42578125" customWidth="1"/>
    <col min="666" max="666" width="22.5703125" bestFit="1" customWidth="1"/>
    <col min="667" max="667" width="39" customWidth="1"/>
    <col min="668" max="668" width="46.28515625" customWidth="1"/>
    <col min="669" max="670" width="9.140625" customWidth="1"/>
    <col min="671" max="671" width="27.5703125" customWidth="1"/>
    <col min="672" max="672" width="21.7109375" customWidth="1"/>
    <col min="673" max="673" width="22.42578125" customWidth="1"/>
    <col min="674" max="674" width="32.7109375" customWidth="1"/>
    <col min="675" max="675" width="23.140625" customWidth="1"/>
    <col min="676" max="676" width="23.85546875" customWidth="1"/>
    <col min="677" max="677" width="34.28515625" customWidth="1"/>
    <col min="678" max="678" width="21" customWidth="1"/>
    <col min="679" max="679" width="21.85546875" customWidth="1"/>
    <col min="680" max="680" width="32.140625" customWidth="1"/>
    <col min="681" max="681" width="22.5703125" customWidth="1"/>
    <col min="682" max="682" width="24.7109375" customWidth="1"/>
    <col min="683" max="683" width="46" bestFit="1" customWidth="1"/>
    <col min="684" max="684" width="9.140625" customWidth="1"/>
    <col min="685" max="685" width="24.28515625" customWidth="1"/>
    <col min="687" max="687" width="27.5703125" bestFit="1" customWidth="1"/>
    <col min="690" max="690" width="14.7109375" bestFit="1" customWidth="1"/>
    <col min="693" max="693" width="27.5703125" bestFit="1" customWidth="1"/>
    <col min="699" max="699" width="27.5703125" bestFit="1" customWidth="1"/>
    <col min="705" max="705" width="27.5703125" bestFit="1" customWidth="1"/>
    <col min="713" max="713" width="17.42578125" bestFit="1" customWidth="1"/>
    <col min="714" max="714" width="19.28515625" customWidth="1"/>
    <col min="715" max="715" width="18.42578125" customWidth="1"/>
    <col min="730" max="730" width="23" customWidth="1"/>
    <col min="731" max="731" width="16" customWidth="1"/>
    <col min="732" max="732" width="29.140625" customWidth="1"/>
    <col min="733" max="733" width="24.5703125" bestFit="1" customWidth="1"/>
    <col min="734" max="734" width="14.140625" bestFit="1" customWidth="1"/>
    <col min="740" max="741" width="17.140625" customWidth="1"/>
    <col min="742" max="742" width="27" bestFit="1" customWidth="1"/>
    <col min="743" max="743" width="32" customWidth="1"/>
    <col min="744" max="749" width="63.42578125" bestFit="1" customWidth="1"/>
  </cols>
  <sheetData>
    <row r="1" spans="1:753" ht="15">
      <c r="A1" t="s">
        <v>127</v>
      </c>
      <c r="B1">
        <v>35</v>
      </c>
      <c r="C1" t="s">
        <v>128</v>
      </c>
      <c r="D1" t="s">
        <v>129</v>
      </c>
      <c r="E1" t="s">
        <v>130</v>
      </c>
      <c r="F1" t="s">
        <v>131</v>
      </c>
      <c r="G1" t="s">
        <v>132</v>
      </c>
      <c r="H1" t="s">
        <v>133</v>
      </c>
      <c r="I1" t="s">
        <v>134</v>
      </c>
      <c r="J1">
        <v>1000</v>
      </c>
      <c r="K1" t="s">
        <v>135</v>
      </c>
      <c r="L1" s="6" t="s">
        <v>139</v>
      </c>
      <c r="M1">
        <v>110</v>
      </c>
      <c r="N1" t="s">
        <v>123</v>
      </c>
      <c r="O1">
        <v>215205</v>
      </c>
      <c r="P1" t="s">
        <v>124</v>
      </c>
      <c r="Q1">
        <v>2234</v>
      </c>
      <c r="R1" t="s">
        <v>125</v>
      </c>
      <c r="S1" t="s">
        <v>126</v>
      </c>
      <c r="T1">
        <v>1973</v>
      </c>
      <c r="V1" s="1" t="s">
        <v>982</v>
      </c>
      <c r="W1" s="35"/>
      <c r="X1" s="35"/>
      <c r="Y1" s="38"/>
      <c r="Z1" s="38" t="s">
        <v>216</v>
      </c>
      <c r="AA1" s="38"/>
      <c r="AB1" s="38"/>
      <c r="AC1" s="38"/>
      <c r="AD1" s="38"/>
      <c r="AE1" s="38"/>
      <c r="AF1" s="38"/>
      <c r="AG1" s="38"/>
      <c r="AH1" s="38"/>
      <c r="AI1" s="38"/>
      <c r="AJ1" s="38" t="s">
        <v>230</v>
      </c>
      <c r="AK1" s="187" t="s">
        <v>948</v>
      </c>
      <c r="AL1" s="38" t="s">
        <v>211</v>
      </c>
      <c r="AN1" s="38" t="s">
        <v>236</v>
      </c>
      <c r="AO1" s="38"/>
      <c r="AP1" s="38" t="s">
        <v>276</v>
      </c>
      <c r="AQ1" s="38" t="s">
        <v>281</v>
      </c>
      <c r="AR1" s="38" t="s">
        <v>288</v>
      </c>
      <c r="AU1" s="798"/>
      <c r="AV1" s="798"/>
      <c r="AW1" s="798"/>
      <c r="AX1" s="798"/>
      <c r="AY1" s="798"/>
      <c r="EW1" t="s">
        <v>150</v>
      </c>
      <c r="FA1" t="s">
        <v>614</v>
      </c>
      <c r="FF1" t="s">
        <v>641</v>
      </c>
      <c r="FG1" s="210" t="s">
        <v>1545</v>
      </c>
      <c r="FH1" s="210" t="s">
        <v>1546</v>
      </c>
      <c r="FI1" s="35" t="s">
        <v>999</v>
      </c>
      <c r="FJ1" t="s">
        <v>644</v>
      </c>
      <c r="FK1" t="s">
        <v>647</v>
      </c>
      <c r="FL1" t="s">
        <v>648</v>
      </c>
      <c r="FM1" t="s">
        <v>645</v>
      </c>
      <c r="FN1" t="s">
        <v>646</v>
      </c>
      <c r="FO1" t="s">
        <v>949</v>
      </c>
      <c r="FP1" t="s">
        <v>664</v>
      </c>
      <c r="FR1" t="s">
        <v>1084</v>
      </c>
      <c r="FS1" t="s">
        <v>696</v>
      </c>
      <c r="FT1" t="s">
        <v>697</v>
      </c>
      <c r="FU1" t="s">
        <v>698</v>
      </c>
      <c r="FV1" t="s">
        <v>699</v>
      </c>
      <c r="FW1" t="s">
        <v>700</v>
      </c>
      <c r="FX1" t="s">
        <v>701</v>
      </c>
      <c r="FY1" s="35" t="s">
        <v>833</v>
      </c>
      <c r="FZ1" t="s">
        <v>702</v>
      </c>
      <c r="GA1" t="s">
        <v>703</v>
      </c>
      <c r="GB1" t="s">
        <v>704</v>
      </c>
      <c r="GC1" t="s">
        <v>705</v>
      </c>
      <c r="GD1" t="s">
        <v>706</v>
      </c>
      <c r="GE1" t="s">
        <v>707</v>
      </c>
      <c r="GF1" t="s">
        <v>708</v>
      </c>
      <c r="GG1" t="s">
        <v>709</v>
      </c>
      <c r="GH1" t="s">
        <v>710</v>
      </c>
      <c r="GI1" t="s">
        <v>711</v>
      </c>
      <c r="GJ1" t="s">
        <v>712</v>
      </c>
      <c r="GK1" t="s">
        <v>713</v>
      </c>
      <c r="GL1" t="s">
        <v>714</v>
      </c>
      <c r="GM1" t="s">
        <v>715</v>
      </c>
      <c r="GN1" t="s">
        <v>716</v>
      </c>
      <c r="GO1" t="s">
        <v>781</v>
      </c>
      <c r="GP1" t="s">
        <v>717</v>
      </c>
      <c r="GQ1" t="s">
        <v>718</v>
      </c>
      <c r="GR1" t="s">
        <v>719</v>
      </c>
      <c r="GS1" s="327" t="s">
        <v>834</v>
      </c>
      <c r="GT1" t="s">
        <v>782</v>
      </c>
      <c r="GU1" t="s">
        <v>720</v>
      </c>
      <c r="GV1" t="s">
        <v>721</v>
      </c>
      <c r="GW1" t="s">
        <v>722</v>
      </c>
      <c r="GX1" s="327" t="s">
        <v>835</v>
      </c>
      <c r="GY1" t="s">
        <v>868</v>
      </c>
      <c r="GZ1" t="s">
        <v>869</v>
      </c>
      <c r="HX1" t="s">
        <v>727</v>
      </c>
      <c r="JH1" s="799" t="s">
        <v>805</v>
      </c>
      <c r="JI1" s="799"/>
      <c r="JJ1" s="799"/>
      <c r="JK1" s="799"/>
      <c r="JL1" s="799"/>
      <c r="JM1" s="799"/>
      <c r="JN1" s="799"/>
      <c r="JO1" s="799"/>
      <c r="JP1" s="799"/>
      <c r="JQ1" s="799"/>
      <c r="JR1" s="799"/>
      <c r="JS1" s="799"/>
      <c r="JT1" s="799"/>
      <c r="JU1" s="799"/>
      <c r="JV1" s="799"/>
      <c r="JW1" s="799"/>
      <c r="KK1" t="s">
        <v>846</v>
      </c>
      <c r="KM1" t="s">
        <v>26</v>
      </c>
      <c r="KN1" t="s">
        <v>867</v>
      </c>
      <c r="KO1" t="s">
        <v>861</v>
      </c>
      <c r="KP1" t="s">
        <v>843</v>
      </c>
      <c r="KQ1" t="s">
        <v>862</v>
      </c>
      <c r="KR1" t="s">
        <v>863</v>
      </c>
      <c r="KS1" t="s">
        <v>857</v>
      </c>
      <c r="KT1" t="s">
        <v>858</v>
      </c>
      <c r="KX1" t="s">
        <v>859</v>
      </c>
      <c r="KY1" t="s">
        <v>860</v>
      </c>
      <c r="LA1" t="s">
        <v>26</v>
      </c>
      <c r="LB1" t="s">
        <v>842</v>
      </c>
      <c r="LC1" t="s">
        <v>843</v>
      </c>
      <c r="LD1" t="s">
        <v>844</v>
      </c>
      <c r="LJ1" t="s">
        <v>802</v>
      </c>
      <c r="LW1" s="186" t="s">
        <v>938</v>
      </c>
      <c r="LX1" s="195" t="s">
        <v>934</v>
      </c>
      <c r="LY1" s="197" t="s">
        <v>935</v>
      </c>
      <c r="LZ1" s="193" t="s">
        <v>936</v>
      </c>
      <c r="MA1" s="191" t="s">
        <v>939</v>
      </c>
      <c r="MB1" s="189" t="s">
        <v>940</v>
      </c>
      <c r="MC1" s="198" t="s">
        <v>947</v>
      </c>
      <c r="ME1" s="187" t="s">
        <v>155</v>
      </c>
      <c r="MH1" t="s">
        <v>14</v>
      </c>
      <c r="MX1" t="s">
        <v>1004</v>
      </c>
      <c r="NO1" s="800" t="s">
        <v>357</v>
      </c>
      <c r="NP1" s="800"/>
      <c r="NQ1" s="800"/>
      <c r="NR1" s="800"/>
      <c r="NS1" s="800"/>
      <c r="NT1" s="800"/>
      <c r="NU1" s="800"/>
      <c r="NV1" s="800"/>
      <c r="NW1" s="800"/>
      <c r="NX1" s="800"/>
      <c r="NY1" s="800"/>
      <c r="NZ1" s="800"/>
      <c r="OA1" s="800"/>
      <c r="OB1" s="800"/>
      <c r="OC1" s="800"/>
      <c r="OD1" s="800"/>
      <c r="OE1" s="800"/>
      <c r="OL1" t="s">
        <v>1079</v>
      </c>
      <c r="PB1" t="s">
        <v>1094</v>
      </c>
      <c r="PC1" t="s">
        <v>1140</v>
      </c>
      <c r="PD1" t="s">
        <v>1131</v>
      </c>
      <c r="PE1" t="s">
        <v>1091</v>
      </c>
      <c r="PF1" t="s">
        <v>1095</v>
      </c>
      <c r="PG1" t="s">
        <v>1092</v>
      </c>
      <c r="PH1" t="s">
        <v>1093</v>
      </c>
      <c r="PI1" t="s">
        <v>1141</v>
      </c>
      <c r="PJ1" t="s">
        <v>1130</v>
      </c>
      <c r="PK1" t="s">
        <v>215</v>
      </c>
      <c r="PL1" t="s">
        <v>1090</v>
      </c>
      <c r="PU1" t="s">
        <v>1129</v>
      </c>
      <c r="PV1" t="s">
        <v>1437</v>
      </c>
      <c r="PW1" t="s">
        <v>1438</v>
      </c>
      <c r="PX1" t="s">
        <v>1152</v>
      </c>
      <c r="PY1" t="s">
        <v>1153</v>
      </c>
      <c r="PZ1" t="s">
        <v>1154</v>
      </c>
      <c r="QA1" t="s">
        <v>1155</v>
      </c>
      <c r="QB1" t="s">
        <v>1156</v>
      </c>
      <c r="QC1" t="s">
        <v>1157</v>
      </c>
      <c r="QD1" t="s">
        <v>1158</v>
      </c>
      <c r="QE1" t="s">
        <v>1159</v>
      </c>
      <c r="QF1" t="s">
        <v>1160</v>
      </c>
      <c r="QG1" t="s">
        <v>1161</v>
      </c>
      <c r="QH1" t="s">
        <v>1169</v>
      </c>
      <c r="QJ1" s="35" t="s">
        <v>1537</v>
      </c>
      <c r="QK1" t="s">
        <v>1216</v>
      </c>
      <c r="QL1" t="s">
        <v>1422</v>
      </c>
      <c r="QM1" t="s">
        <v>1423</v>
      </c>
      <c r="QN1" t="s">
        <v>1408</v>
      </c>
      <c r="QO1" t="s">
        <v>1409</v>
      </c>
      <c r="QP1" t="s">
        <v>1410</v>
      </c>
      <c r="QQ1" t="s">
        <v>1411</v>
      </c>
      <c r="QR1" t="s">
        <v>1412</v>
      </c>
      <c r="QS1" t="s">
        <v>1413</v>
      </c>
      <c r="QT1" t="s">
        <v>1433</v>
      </c>
      <c r="QU1" t="s">
        <v>1414</v>
      </c>
      <c r="QV1" t="s">
        <v>1502</v>
      </c>
      <c r="QW1" t="s">
        <v>1503</v>
      </c>
      <c r="RB1" t="s">
        <v>1173</v>
      </c>
      <c r="RC1" t="s">
        <v>1191</v>
      </c>
      <c r="RD1" t="s">
        <v>1206</v>
      </c>
      <c r="RE1" t="s">
        <v>1213</v>
      </c>
      <c r="RF1" t="s">
        <v>1207</v>
      </c>
      <c r="RG1" t="s">
        <v>1201</v>
      </c>
      <c r="RH1" t="s">
        <v>1212</v>
      </c>
      <c r="RI1" t="s">
        <v>1184</v>
      </c>
      <c r="RJ1" t="s">
        <v>1202</v>
      </c>
      <c r="RK1" t="s">
        <v>1181</v>
      </c>
      <c r="RL1" t="s">
        <v>1182</v>
      </c>
      <c r="RM1" t="s">
        <v>1200</v>
      </c>
      <c r="RN1" t="s">
        <v>1199</v>
      </c>
      <c r="RQ1" s="348" t="s">
        <v>2186</v>
      </c>
      <c r="RU1" t="s">
        <v>1180</v>
      </c>
      <c r="RW1" t="s">
        <v>1193</v>
      </c>
      <c r="RX1" s="237" t="s">
        <v>1198</v>
      </c>
      <c r="SE1" t="s">
        <v>1353</v>
      </c>
      <c r="SF1" t="s">
        <v>1352</v>
      </c>
      <c r="SG1" t="s">
        <v>1351</v>
      </c>
      <c r="SH1" t="s">
        <v>1252</v>
      </c>
      <c r="SI1" t="s">
        <v>1350</v>
      </c>
      <c r="SJ1" t="s">
        <v>1349</v>
      </c>
      <c r="SK1" t="s">
        <v>1348</v>
      </c>
      <c r="SL1" t="s">
        <v>1347</v>
      </c>
      <c r="SM1" t="s">
        <v>1346</v>
      </c>
      <c r="SN1" t="s">
        <v>1345</v>
      </c>
      <c r="SO1" t="s">
        <v>1344</v>
      </c>
      <c r="SP1" t="s">
        <v>1343</v>
      </c>
      <c r="SQ1" t="s">
        <v>1342</v>
      </c>
      <c r="SR1" t="s">
        <v>1341</v>
      </c>
      <c r="SS1" t="s">
        <v>1340</v>
      </c>
      <c r="ST1" t="s">
        <v>1339</v>
      </c>
      <c r="TB1" s="207"/>
      <c r="TC1" s="461" t="s">
        <v>1177</v>
      </c>
      <c r="TD1" s="35" t="s">
        <v>1853</v>
      </c>
      <c r="TE1" s="35" t="s">
        <v>1855</v>
      </c>
      <c r="TF1" s="210" t="s">
        <v>1854</v>
      </c>
      <c r="TG1" s="35" t="s">
        <v>1856</v>
      </c>
      <c r="TH1" s="206" t="s">
        <v>1857</v>
      </c>
      <c r="TI1" s="35" t="s">
        <v>1869</v>
      </c>
      <c r="TJ1" s="35" t="s">
        <v>1870</v>
      </c>
      <c r="TK1" s="35" t="s">
        <v>1871</v>
      </c>
      <c r="TL1" s="35" t="s">
        <v>1872</v>
      </c>
      <c r="TM1" s="461" t="s">
        <v>1178</v>
      </c>
      <c r="TN1" s="461" t="s">
        <v>1185</v>
      </c>
      <c r="TO1" s="461" t="s">
        <v>1189</v>
      </c>
      <c r="TP1" s="461" t="s">
        <v>1187</v>
      </c>
      <c r="TQ1" s="461" t="s">
        <v>1188</v>
      </c>
      <c r="TR1" s="461" t="s">
        <v>2153</v>
      </c>
      <c r="TS1" s="461" t="s">
        <v>2152</v>
      </c>
      <c r="TT1" s="461" t="s">
        <v>2154</v>
      </c>
      <c r="TU1" s="461" t="s">
        <v>2156</v>
      </c>
      <c r="TV1" s="462" t="s">
        <v>1854</v>
      </c>
      <c r="TW1" s="461" t="s">
        <v>2155</v>
      </c>
      <c r="TX1" s="461" t="s">
        <v>2157</v>
      </c>
      <c r="TY1" s="461" t="s">
        <v>1186</v>
      </c>
      <c r="TZ1" s="461" t="s">
        <v>1190</v>
      </c>
      <c r="UA1" s="207" t="s">
        <v>1215</v>
      </c>
      <c r="UB1" s="255" t="s">
        <v>1440</v>
      </c>
      <c r="UC1" t="s">
        <v>1254</v>
      </c>
      <c r="UD1" t="s">
        <v>1261</v>
      </c>
      <c r="UE1" t="s">
        <v>1260</v>
      </c>
      <c r="UF1" t="s">
        <v>1262</v>
      </c>
      <c r="UG1" t="s">
        <v>1263</v>
      </c>
      <c r="UH1" t="s">
        <v>1264</v>
      </c>
      <c r="UI1" t="s">
        <v>1265</v>
      </c>
      <c r="UJ1" t="s">
        <v>1266</v>
      </c>
      <c r="UK1" t="s">
        <v>1267</v>
      </c>
      <c r="UL1" t="s">
        <v>1338</v>
      </c>
      <c r="UM1" t="s">
        <v>1268</v>
      </c>
      <c r="UN1" t="s">
        <v>1269</v>
      </c>
      <c r="UO1" t="s">
        <v>1270</v>
      </c>
      <c r="US1" t="s">
        <v>1296</v>
      </c>
      <c r="UU1" t="s">
        <v>1300</v>
      </c>
      <c r="UV1" t="s">
        <v>1301</v>
      </c>
      <c r="UW1" t="s">
        <v>2327</v>
      </c>
      <c r="UX1" t="s">
        <v>1302</v>
      </c>
      <c r="UY1" t="s">
        <v>1303</v>
      </c>
      <c r="UZ1" t="s">
        <v>2326</v>
      </c>
      <c r="VA1" t="s">
        <v>1304</v>
      </c>
      <c r="VB1" t="s">
        <v>1305</v>
      </c>
      <c r="VC1" t="s">
        <v>2328</v>
      </c>
      <c r="VD1" s="35" t="s">
        <v>2050</v>
      </c>
      <c r="VE1" t="s">
        <v>1306</v>
      </c>
      <c r="VF1" t="s">
        <v>1469</v>
      </c>
      <c r="VL1" s="245"/>
      <c r="VM1" s="245" t="s">
        <v>1174</v>
      </c>
      <c r="VN1" s="245" t="s">
        <v>1175</v>
      </c>
      <c r="VO1" s="245" t="s">
        <v>1852</v>
      </c>
      <c r="VP1" s="245" t="s">
        <v>2137</v>
      </c>
      <c r="VQ1" s="245" t="s">
        <v>1176</v>
      </c>
      <c r="VR1" s="243" t="s">
        <v>1389</v>
      </c>
      <c r="VS1" s="204" t="s">
        <v>1354</v>
      </c>
      <c r="VT1" s="178" t="s">
        <v>1355</v>
      </c>
      <c r="VU1" s="204" t="s">
        <v>1361</v>
      </c>
      <c r="VV1" s="178" t="s">
        <v>1360</v>
      </c>
      <c r="VW1" s="178" t="s">
        <v>1356</v>
      </c>
      <c r="VX1" s="178" t="s">
        <v>1364</v>
      </c>
      <c r="VY1" s="178" t="s">
        <v>1357</v>
      </c>
      <c r="VZ1" s="178" t="s">
        <v>1358</v>
      </c>
      <c r="WA1" s="178" t="s">
        <v>1363</v>
      </c>
      <c r="WB1" s="178" t="s">
        <v>1359</v>
      </c>
      <c r="WC1" s="178" t="s">
        <v>1362</v>
      </c>
      <c r="WD1" s="241" t="s">
        <v>1365</v>
      </c>
      <c r="WE1" s="241" t="s">
        <v>1366</v>
      </c>
      <c r="WF1" s="241" t="s">
        <v>1367</v>
      </c>
      <c r="WG1" s="241" t="s">
        <v>1368</v>
      </c>
      <c r="WH1" s="241" t="s">
        <v>1369</v>
      </c>
      <c r="WI1" s="241" t="s">
        <v>1370</v>
      </c>
      <c r="WJ1" s="241" t="s">
        <v>1371</v>
      </c>
      <c r="WK1" s="241" t="s">
        <v>1372</v>
      </c>
      <c r="WL1" s="241" t="s">
        <v>1373</v>
      </c>
      <c r="WM1" s="241" t="s">
        <v>1374</v>
      </c>
      <c r="WN1" s="241" t="s">
        <v>1375</v>
      </c>
      <c r="WO1" s="242" t="s">
        <v>1376</v>
      </c>
      <c r="WP1" s="242" t="s">
        <v>1377</v>
      </c>
      <c r="WQ1" s="242" t="s">
        <v>1378</v>
      </c>
      <c r="WR1" s="242" t="s">
        <v>1379</v>
      </c>
      <c r="WS1" s="242" t="s">
        <v>1380</v>
      </c>
      <c r="WT1" s="242" t="s">
        <v>1381</v>
      </c>
      <c r="WU1" s="242" t="s">
        <v>1382</v>
      </c>
      <c r="WV1" s="242" t="s">
        <v>1383</v>
      </c>
      <c r="WW1" s="242" t="s">
        <v>1384</v>
      </c>
      <c r="WX1" s="242" t="s">
        <v>1385</v>
      </c>
      <c r="WY1" s="242" t="s">
        <v>1386</v>
      </c>
      <c r="XF1" t="s">
        <v>1390</v>
      </c>
      <c r="XG1" t="s">
        <v>1392</v>
      </c>
      <c r="XH1" s="178" t="s">
        <v>1933</v>
      </c>
      <c r="XI1" t="s">
        <v>1391</v>
      </c>
      <c r="XJ1" t="s">
        <v>2223</v>
      </c>
      <c r="XQ1" t="s">
        <v>1393</v>
      </c>
      <c r="XT1" s="207" t="s">
        <v>1177</v>
      </c>
      <c r="XU1" s="207" t="s">
        <v>2154</v>
      </c>
      <c r="XV1" s="207" t="s">
        <v>2156</v>
      </c>
      <c r="XW1" s="207" t="s">
        <v>2155</v>
      </c>
      <c r="XX1" s="207" t="s">
        <v>2153</v>
      </c>
      <c r="XY1" s="207" t="s">
        <v>2152</v>
      </c>
      <c r="XZ1" s="207" t="s">
        <v>1178</v>
      </c>
      <c r="YA1" s="207" t="s">
        <v>1185</v>
      </c>
      <c r="YB1" s="207" t="s">
        <v>1189</v>
      </c>
      <c r="YC1" s="207" t="s">
        <v>1187</v>
      </c>
      <c r="YD1" s="207" t="s">
        <v>1188</v>
      </c>
      <c r="YE1" s="207" t="s">
        <v>1186</v>
      </c>
      <c r="YF1" s="207" t="s">
        <v>1190</v>
      </c>
      <c r="YG1" s="207" t="s">
        <v>1853</v>
      </c>
      <c r="YH1" s="207" t="s">
        <v>1855</v>
      </c>
      <c r="YI1" s="207" t="s">
        <v>1854</v>
      </c>
      <c r="YJ1" s="207" t="s">
        <v>1856</v>
      </c>
      <c r="YK1" s="207" t="s">
        <v>1857</v>
      </c>
      <c r="YL1" s="207" t="s">
        <v>1869</v>
      </c>
      <c r="YM1" s="207" t="s">
        <v>1870</v>
      </c>
      <c r="YN1" s="207" t="s">
        <v>1871</v>
      </c>
      <c r="YO1" s="207" t="s">
        <v>2157</v>
      </c>
      <c r="YP1" s="207" t="s">
        <v>1872</v>
      </c>
      <c r="YQ1" s="207" t="s">
        <v>1215</v>
      </c>
      <c r="YR1" s="207" t="s">
        <v>1440</v>
      </c>
      <c r="YV1" t="s">
        <v>1395</v>
      </c>
      <c r="YW1" t="s">
        <v>1396</v>
      </c>
      <c r="YX1" t="s">
        <v>1441</v>
      </c>
      <c r="YY1" t="s">
        <v>1397</v>
      </c>
      <c r="YZ1" t="s">
        <v>1398</v>
      </c>
      <c r="ZA1" t="s">
        <v>1442</v>
      </c>
      <c r="ZB1" t="s">
        <v>1399</v>
      </c>
      <c r="ZC1" t="s">
        <v>1400</v>
      </c>
      <c r="ZD1" t="s">
        <v>1443</v>
      </c>
      <c r="ZE1" t="s">
        <v>1401</v>
      </c>
      <c r="ZF1" t="s">
        <v>1402</v>
      </c>
      <c r="ZG1" t="s">
        <v>1470</v>
      </c>
      <c r="ZI1" s="199" t="s">
        <v>1174</v>
      </c>
      <c r="ZK1" s="199" t="s">
        <v>1453</v>
      </c>
      <c r="ZL1" s="199" t="s">
        <v>1404</v>
      </c>
      <c r="ZM1" s="199" t="s">
        <v>2336</v>
      </c>
      <c r="ZN1" s="199" t="s">
        <v>2337</v>
      </c>
      <c r="ZO1" s="199" t="s">
        <v>2338</v>
      </c>
      <c r="ZP1" s="199" t="s">
        <v>2339</v>
      </c>
      <c r="ZQ1" s="199" t="s">
        <v>1474</v>
      </c>
      <c r="ZR1" s="199" t="s">
        <v>1404</v>
      </c>
      <c r="ZS1" s="199" t="s">
        <v>2336</v>
      </c>
      <c r="ZT1" s="199" t="s">
        <v>2337</v>
      </c>
      <c r="ZU1" s="199" t="s">
        <v>2338</v>
      </c>
      <c r="ZV1" s="199" t="s">
        <v>2339</v>
      </c>
      <c r="ZW1" s="199" t="s">
        <v>1473</v>
      </c>
      <c r="ZX1" s="199" t="s">
        <v>1404</v>
      </c>
      <c r="ZY1" s="199" t="s">
        <v>2336</v>
      </c>
      <c r="ZZ1" s="199" t="s">
        <v>2337</v>
      </c>
      <c r="AAA1" s="199" t="s">
        <v>2338</v>
      </c>
      <c r="AAB1" s="199" t="s">
        <v>2339</v>
      </c>
      <c r="AAC1" s="199" t="s">
        <v>1988</v>
      </c>
      <c r="AAD1" s="199" t="s">
        <v>1404</v>
      </c>
      <c r="AAE1" s="199" t="s">
        <v>2336</v>
      </c>
      <c r="AAF1" s="199" t="s">
        <v>2337</v>
      </c>
      <c r="AAG1" s="199" t="s">
        <v>2338</v>
      </c>
      <c r="AAH1" s="199" t="s">
        <v>2339</v>
      </c>
      <c r="AAL1" t="s">
        <v>404</v>
      </c>
      <c r="AAM1" t="s">
        <v>405</v>
      </c>
      <c r="ABB1" t="s">
        <v>1476</v>
      </c>
      <c r="ABC1" t="s">
        <v>955</v>
      </c>
      <c r="ABD1" t="s">
        <v>1479</v>
      </c>
      <c r="ABE1" t="s">
        <v>1480</v>
      </c>
      <c r="ABF1" t="s">
        <v>1478</v>
      </c>
      <c r="ABL1" t="s">
        <v>955</v>
      </c>
      <c r="ABN1" t="s">
        <v>1481</v>
      </c>
      <c r="ABO1" t="s">
        <v>1482</v>
      </c>
      <c r="ABP1" t="s">
        <v>1483</v>
      </c>
      <c r="ABQ1" t="s">
        <v>1484</v>
      </c>
      <c r="ABR1" t="s">
        <v>1485</v>
      </c>
      <c r="ABS1" t="s">
        <v>1486</v>
      </c>
      <c r="ABT1" t="s">
        <v>1487</v>
      </c>
      <c r="ABU1" t="s">
        <v>1488</v>
      </c>
      <c r="ABV1" t="s">
        <v>584</v>
      </c>
      <c r="ABW1" t="s">
        <v>1490</v>
      </c>
      <c r="ABX1" t="s">
        <v>1491</v>
      </c>
      <c r="ABY1" t="s">
        <v>1492</v>
      </c>
    </row>
    <row r="2" spans="1:753">
      <c r="A2" t="s">
        <v>31</v>
      </c>
      <c r="B2">
        <v>36</v>
      </c>
      <c r="C2" t="s">
        <v>32</v>
      </c>
      <c r="D2" t="s">
        <v>33</v>
      </c>
      <c r="E2" t="s">
        <v>34</v>
      </c>
      <c r="F2" t="s">
        <v>35</v>
      </c>
      <c r="G2" t="s">
        <v>36</v>
      </c>
      <c r="H2" t="s">
        <v>37</v>
      </c>
      <c r="I2" t="s">
        <v>38</v>
      </c>
      <c r="J2">
        <v>8000</v>
      </c>
      <c r="K2" t="s">
        <v>39</v>
      </c>
      <c r="L2" s="6" t="s">
        <v>140</v>
      </c>
      <c r="M2">
        <v>180</v>
      </c>
      <c r="N2" t="s">
        <v>3</v>
      </c>
      <c r="O2">
        <v>215206</v>
      </c>
      <c r="P2" t="s">
        <v>12</v>
      </c>
      <c r="Q2">
        <v>2236</v>
      </c>
      <c r="R2" t="s">
        <v>60</v>
      </c>
      <c r="S2" t="s">
        <v>27</v>
      </c>
      <c r="T2">
        <v>1974</v>
      </c>
      <c r="V2" s="2"/>
      <c r="W2" s="39" t="s">
        <v>217</v>
      </c>
      <c r="Y2" s="39" t="s">
        <v>212</v>
      </c>
      <c r="Z2" s="39" t="s">
        <v>213</v>
      </c>
      <c r="AA2" s="39" t="s">
        <v>214</v>
      </c>
      <c r="AB2" s="39" t="s">
        <v>215</v>
      </c>
      <c r="AC2" s="39"/>
      <c r="AD2" s="39" t="s">
        <v>22</v>
      </c>
      <c r="AE2" s="39" t="s">
        <v>69</v>
      </c>
      <c r="AF2" s="39" t="s">
        <v>223</v>
      </c>
      <c r="AG2" s="39"/>
      <c r="AH2" s="39" t="s">
        <v>224</v>
      </c>
      <c r="AJ2" t="s">
        <v>26</v>
      </c>
      <c r="AK2" s="203" t="s">
        <v>332</v>
      </c>
      <c r="AL2" t="s">
        <v>273</v>
      </c>
      <c r="AN2" t="s">
        <v>252</v>
      </c>
      <c r="AP2" t="s">
        <v>2287</v>
      </c>
      <c r="AQ2" t="s">
        <v>2297</v>
      </c>
      <c r="AR2" t="s">
        <v>2292</v>
      </c>
      <c r="AU2" s="38"/>
      <c r="AV2" s="39"/>
      <c r="AW2" s="38"/>
      <c r="AX2" s="39"/>
      <c r="AY2" s="38"/>
      <c r="BA2" s="38" t="s">
        <v>208</v>
      </c>
      <c r="BC2" s="38" t="s">
        <v>298</v>
      </c>
      <c r="BD2" s="274" t="s">
        <v>1541</v>
      </c>
      <c r="BE2" s="38" t="s">
        <v>872</v>
      </c>
      <c r="BF2" s="328" t="s">
        <v>1774</v>
      </c>
      <c r="BG2" s="328" t="s">
        <v>1775</v>
      </c>
      <c r="BH2" s="328" t="s">
        <v>873</v>
      </c>
      <c r="BI2" s="38" t="s">
        <v>305</v>
      </c>
      <c r="BK2" s="38" t="s">
        <v>315</v>
      </c>
      <c r="BM2" s="274" t="s">
        <v>321</v>
      </c>
      <c r="BN2" t="s">
        <v>969</v>
      </c>
      <c r="BO2" s="274" t="s">
        <v>1538</v>
      </c>
      <c r="BP2" s="38" t="s">
        <v>227</v>
      </c>
      <c r="BQ2" s="38" t="s">
        <v>299</v>
      </c>
      <c r="BS2" s="274" t="s">
        <v>1539</v>
      </c>
      <c r="BT2" s="38" t="s">
        <v>334</v>
      </c>
      <c r="BU2" s="38" t="s">
        <v>335</v>
      </c>
      <c r="BW2" s="38" t="s">
        <v>349</v>
      </c>
      <c r="BY2" s="38" t="s">
        <v>362</v>
      </c>
      <c r="CA2" s="38" t="s">
        <v>363</v>
      </c>
      <c r="CD2" t="s">
        <v>370</v>
      </c>
      <c r="CE2" t="s">
        <v>372</v>
      </c>
      <c r="CF2" s="35" t="s">
        <v>454</v>
      </c>
      <c r="CG2" s="35" t="s">
        <v>455</v>
      </c>
      <c r="CH2" s="35" t="s">
        <v>456</v>
      </c>
      <c r="CJ2" t="s">
        <v>389</v>
      </c>
      <c r="CM2" s="210" t="s">
        <v>1540</v>
      </c>
      <c r="CN2" s="35" t="s">
        <v>399</v>
      </c>
      <c r="CO2" s="35" t="s">
        <v>400</v>
      </c>
      <c r="CQ2" s="35" t="s">
        <v>402</v>
      </c>
      <c r="CS2" s="35" t="s">
        <v>404</v>
      </c>
      <c r="CT2" s="35" t="s">
        <v>405</v>
      </c>
      <c r="CU2" s="35" t="s">
        <v>410</v>
      </c>
      <c r="CV2" s="35" t="s">
        <v>411</v>
      </c>
      <c r="CX2" s="35" t="s">
        <v>418</v>
      </c>
      <c r="CY2" s="35" t="s">
        <v>417</v>
      </c>
      <c r="CZ2" t="s">
        <v>1085</v>
      </c>
      <c r="DA2" s="35" t="s">
        <v>419</v>
      </c>
      <c r="DD2" s="35" t="s">
        <v>424</v>
      </c>
      <c r="DE2" s="35" t="s">
        <v>425</v>
      </c>
      <c r="DG2" s="35" t="s">
        <v>449</v>
      </c>
      <c r="DI2" s="35" t="s">
        <v>460</v>
      </c>
      <c r="DJ2" s="35" t="s">
        <v>461</v>
      </c>
      <c r="DK2" s="35" t="s">
        <v>462</v>
      </c>
      <c r="DL2" s="35" t="s">
        <v>459</v>
      </c>
      <c r="DO2" s="35" t="s">
        <v>542</v>
      </c>
      <c r="DR2" s="182"/>
      <c r="DS2" s="182"/>
      <c r="DT2" s="182"/>
      <c r="DU2" s="182"/>
      <c r="DV2" s="182"/>
      <c r="DW2" s="182"/>
      <c r="DX2" s="110"/>
      <c r="DY2" s="182"/>
      <c r="DZ2" s="182"/>
      <c r="EA2" s="182" t="s">
        <v>357</v>
      </c>
      <c r="EB2" s="182"/>
      <c r="EC2" s="182"/>
      <c r="ED2" s="182"/>
      <c r="EE2" s="182"/>
      <c r="EF2" s="110"/>
      <c r="EG2" s="35"/>
      <c r="EJ2" t="s">
        <v>596</v>
      </c>
      <c r="EM2" t="s">
        <v>606</v>
      </c>
      <c r="EN2" t="s">
        <v>607</v>
      </c>
      <c r="EO2" t="s">
        <v>791</v>
      </c>
      <c r="EQ2" t="s">
        <v>943</v>
      </c>
      <c r="ER2" t="s">
        <v>942</v>
      </c>
      <c r="ES2" s="210" t="s">
        <v>1542</v>
      </c>
      <c r="ET2" t="s">
        <v>941</v>
      </c>
      <c r="EU2" s="210" t="s">
        <v>1541</v>
      </c>
      <c r="EW2" s="210" t="s">
        <v>1543</v>
      </c>
      <c r="EX2" t="s">
        <v>610</v>
      </c>
      <c r="EY2" t="s">
        <v>611</v>
      </c>
      <c r="FA2" s="210" t="s">
        <v>552</v>
      </c>
      <c r="FB2" s="210" t="s">
        <v>615</v>
      </c>
      <c r="FC2" t="s">
        <v>306</v>
      </c>
      <c r="FD2" t="s">
        <v>22</v>
      </c>
      <c r="FF2" t="s">
        <v>618</v>
      </c>
      <c r="FG2" t="s">
        <v>306</v>
      </c>
      <c r="FH2" t="s">
        <v>306</v>
      </c>
      <c r="FI2" s="35" t="s">
        <v>306</v>
      </c>
      <c r="FJ2" t="s">
        <v>306</v>
      </c>
      <c r="FK2" t="s">
        <v>306</v>
      </c>
      <c r="FL2" t="s">
        <v>312</v>
      </c>
      <c r="FM2" t="s">
        <v>312</v>
      </c>
      <c r="FN2" t="s">
        <v>311</v>
      </c>
      <c r="FO2" t="s">
        <v>332</v>
      </c>
      <c r="FP2" t="s">
        <v>665</v>
      </c>
      <c r="FR2" s="210" t="s">
        <v>1538</v>
      </c>
      <c r="FS2" s="210" t="s">
        <v>1538</v>
      </c>
      <c r="FT2" s="210" t="s">
        <v>1538</v>
      </c>
      <c r="FU2" s="210" t="s">
        <v>1538</v>
      </c>
      <c r="FV2" s="210" t="s">
        <v>1538</v>
      </c>
      <c r="FW2" s="210" t="s">
        <v>1538</v>
      </c>
      <c r="FX2" s="210" t="s">
        <v>1538</v>
      </c>
      <c r="FY2" s="210" t="s">
        <v>1538</v>
      </c>
      <c r="FZ2" s="210" t="s">
        <v>1538</v>
      </c>
      <c r="GA2" s="210" t="s">
        <v>1538</v>
      </c>
      <c r="GB2" s="210" t="s">
        <v>1538</v>
      </c>
      <c r="GC2" s="210" t="s">
        <v>1538</v>
      </c>
      <c r="GD2" t="s">
        <v>227</v>
      </c>
      <c r="GE2" s="210" t="s">
        <v>1538</v>
      </c>
      <c r="GF2" s="210" t="s">
        <v>1538</v>
      </c>
      <c r="GG2" s="210" t="s">
        <v>1538</v>
      </c>
      <c r="GH2" s="210" t="s">
        <v>1538</v>
      </c>
      <c r="GI2" s="210" t="s">
        <v>1538</v>
      </c>
      <c r="GJ2" s="210" t="s">
        <v>1538</v>
      </c>
      <c r="GK2" s="210" t="s">
        <v>1538</v>
      </c>
      <c r="GL2" s="210" t="s">
        <v>1538</v>
      </c>
      <c r="GM2" s="210" t="s">
        <v>1538</v>
      </c>
      <c r="GN2" s="210" t="s">
        <v>1538</v>
      </c>
      <c r="GO2" s="210" t="s">
        <v>1538</v>
      </c>
      <c r="GP2" s="210" t="s">
        <v>1538</v>
      </c>
      <c r="GQ2" s="210" t="s">
        <v>1538</v>
      </c>
      <c r="GR2" s="210" t="s">
        <v>1538</v>
      </c>
      <c r="GS2" s="210" t="s">
        <v>1538</v>
      </c>
      <c r="GT2" s="210" t="s">
        <v>1538</v>
      </c>
      <c r="GU2" s="210" t="s">
        <v>1538</v>
      </c>
      <c r="GV2" s="210" t="s">
        <v>1538</v>
      </c>
      <c r="GW2" s="210" t="s">
        <v>1538</v>
      </c>
      <c r="GX2" s="210" t="s">
        <v>1538</v>
      </c>
      <c r="GY2" s="210" t="s">
        <v>1538</v>
      </c>
      <c r="GZ2" t="s">
        <v>227</v>
      </c>
      <c r="HA2" t="s">
        <v>738</v>
      </c>
      <c r="HB2" t="s">
        <v>739</v>
      </c>
      <c r="HC2" t="s">
        <v>740</v>
      </c>
      <c r="HD2" t="s">
        <v>741</v>
      </c>
      <c r="HE2" t="s">
        <v>742</v>
      </c>
      <c r="HF2" s="210" t="s">
        <v>1550</v>
      </c>
      <c r="HG2" t="s">
        <v>743</v>
      </c>
      <c r="HH2" t="s">
        <v>744</v>
      </c>
      <c r="HI2" t="s">
        <v>745</v>
      </c>
      <c r="HJ2" t="s">
        <v>746</v>
      </c>
      <c r="HK2" t="s">
        <v>747</v>
      </c>
      <c r="HL2" t="s">
        <v>748</v>
      </c>
      <c r="HM2" t="s">
        <v>737</v>
      </c>
      <c r="HN2" t="s">
        <v>881</v>
      </c>
      <c r="HO2" t="s">
        <v>736</v>
      </c>
      <c r="HP2" t="s">
        <v>735</v>
      </c>
      <c r="HQ2" t="s">
        <v>734</v>
      </c>
      <c r="HR2" t="s">
        <v>880</v>
      </c>
      <c r="HS2" t="s">
        <v>749</v>
      </c>
      <c r="HT2" t="s">
        <v>750</v>
      </c>
      <c r="HU2" t="s">
        <v>751</v>
      </c>
      <c r="HX2" t="s">
        <v>754</v>
      </c>
      <c r="HZ2" t="s">
        <v>778</v>
      </c>
      <c r="IA2" t="s">
        <v>777</v>
      </c>
      <c r="IB2" t="s">
        <v>756</v>
      </c>
      <c r="IC2" t="s">
        <v>776</v>
      </c>
      <c r="ID2" t="s">
        <v>769</v>
      </c>
      <c r="IE2" t="s">
        <v>391</v>
      </c>
      <c r="IF2" t="s">
        <v>669</v>
      </c>
      <c r="IG2" t="s">
        <v>771</v>
      </c>
      <c r="IH2" t="s">
        <v>772</v>
      </c>
      <c r="II2" t="s">
        <v>773</v>
      </c>
      <c r="IJ2" t="s">
        <v>758</v>
      </c>
      <c r="IK2" t="s">
        <v>674</v>
      </c>
      <c r="IL2" s="210" t="s">
        <v>770</v>
      </c>
      <c r="IM2" t="s">
        <v>774</v>
      </c>
      <c r="IN2" t="s">
        <v>775</v>
      </c>
      <c r="IO2" t="s">
        <v>683</v>
      </c>
      <c r="IP2" t="s">
        <v>760</v>
      </c>
      <c r="IQ2" t="s">
        <v>761</v>
      </c>
      <c r="IR2" s="210" t="s">
        <v>762</v>
      </c>
      <c r="IS2" s="210" t="s">
        <v>768</v>
      </c>
      <c r="IT2" t="s">
        <v>763</v>
      </c>
      <c r="IU2" t="s">
        <v>764</v>
      </c>
      <c r="IV2" t="s">
        <v>765</v>
      </c>
      <c r="IW2" t="s">
        <v>1497</v>
      </c>
      <c r="IX2" s="210" t="s">
        <v>1549</v>
      </c>
      <c r="IY2" t="s">
        <v>780</v>
      </c>
      <c r="IZ2" t="s">
        <v>788</v>
      </c>
      <c r="JA2" t="s">
        <v>954</v>
      </c>
      <c r="JB2" t="s">
        <v>797</v>
      </c>
      <c r="JC2" t="s">
        <v>798</v>
      </c>
      <c r="JD2" t="s">
        <v>799</v>
      </c>
      <c r="JE2" t="s">
        <v>800</v>
      </c>
      <c r="JF2" t="s">
        <v>801</v>
      </c>
      <c r="JG2" t="s">
        <v>1001</v>
      </c>
      <c r="JH2" t="s">
        <v>806</v>
      </c>
      <c r="JI2" t="s">
        <v>807</v>
      </c>
      <c r="JJ2" t="s">
        <v>808</v>
      </c>
      <c r="JK2" t="s">
        <v>809</v>
      </c>
      <c r="JL2" t="s">
        <v>810</v>
      </c>
      <c r="JM2" t="s">
        <v>811</v>
      </c>
      <c r="JN2" t="s">
        <v>812</v>
      </c>
      <c r="JO2" t="s">
        <v>813</v>
      </c>
      <c r="JP2" t="s">
        <v>814</v>
      </c>
      <c r="JQ2" t="s">
        <v>815</v>
      </c>
      <c r="JR2" t="s">
        <v>816</v>
      </c>
      <c r="JS2" t="s">
        <v>817</v>
      </c>
      <c r="JT2" t="s">
        <v>818</v>
      </c>
      <c r="JU2" t="s">
        <v>819</v>
      </c>
      <c r="JV2" t="s">
        <v>820</v>
      </c>
      <c r="JW2" t="s">
        <v>821</v>
      </c>
      <c r="JX2" t="s">
        <v>951</v>
      </c>
      <c r="JY2" s="241" t="s">
        <v>1527</v>
      </c>
      <c r="JZ2" t="s">
        <v>822</v>
      </c>
      <c r="KB2" s="210" t="s">
        <v>1547</v>
      </c>
      <c r="KC2" s="210" t="s">
        <v>1548</v>
      </c>
      <c r="KD2" t="s">
        <v>831</v>
      </c>
      <c r="KF2" t="s">
        <v>838</v>
      </c>
      <c r="KK2" t="s">
        <v>26</v>
      </c>
      <c r="KM2" t="s">
        <v>847</v>
      </c>
      <c r="KN2" t="s">
        <v>26</v>
      </c>
      <c r="KO2" t="s">
        <v>848</v>
      </c>
      <c r="KP2" t="s">
        <v>849</v>
      </c>
      <c r="KQ2" t="s">
        <v>852</v>
      </c>
      <c r="KR2" t="s">
        <v>851</v>
      </c>
      <c r="KS2" t="s">
        <v>855</v>
      </c>
      <c r="KT2" t="s">
        <v>856</v>
      </c>
      <c r="KV2" t="s">
        <v>223</v>
      </c>
      <c r="KX2" t="s">
        <v>26</v>
      </c>
      <c r="KY2" t="s">
        <v>849</v>
      </c>
      <c r="KZ2" t="s">
        <v>857</v>
      </c>
      <c r="LA2" t="s">
        <v>26</v>
      </c>
      <c r="LB2" t="s">
        <v>867</v>
      </c>
      <c r="LC2" t="s">
        <v>843</v>
      </c>
      <c r="LD2" t="s">
        <v>862</v>
      </c>
      <c r="LJ2" t="s">
        <v>421</v>
      </c>
      <c r="LK2">
        <v>0</v>
      </c>
      <c r="LO2" t="s">
        <v>845</v>
      </c>
      <c r="LP2" t="s">
        <v>336</v>
      </c>
      <c r="LQ2" t="s">
        <v>338</v>
      </c>
      <c r="LR2" t="s">
        <v>340</v>
      </c>
      <c r="LS2" t="s">
        <v>344</v>
      </c>
      <c r="LT2" t="s">
        <v>346</v>
      </c>
      <c r="LU2" t="s">
        <v>347</v>
      </c>
      <c r="LV2" t="s">
        <v>26</v>
      </c>
      <c r="LW2" s="194" t="s">
        <v>300</v>
      </c>
      <c r="LX2" s="186" t="s">
        <v>421</v>
      </c>
      <c r="LY2" s="234" t="s">
        <v>1073</v>
      </c>
      <c r="LZ2" s="186" t="s">
        <v>518</v>
      </c>
      <c r="MA2" s="186" t="s">
        <v>484</v>
      </c>
      <c r="MB2" s="186" t="s">
        <v>332</v>
      </c>
      <c r="MC2" s="186" t="s">
        <v>332</v>
      </c>
      <c r="MD2" s="200" t="s">
        <v>886</v>
      </c>
      <c r="ME2" s="200" t="s">
        <v>944</v>
      </c>
      <c r="MF2" s="201" t="s">
        <v>945</v>
      </c>
      <c r="MG2" s="202" t="s">
        <v>946</v>
      </c>
      <c r="MI2" t="s">
        <v>308</v>
      </c>
      <c r="MJ2" s="187" t="s">
        <v>22</v>
      </c>
      <c r="MK2" t="s">
        <v>301</v>
      </c>
      <c r="ML2" t="s">
        <v>22</v>
      </c>
      <c r="MN2" t="s">
        <v>983</v>
      </c>
      <c r="MP2" t="s">
        <v>987</v>
      </c>
      <c r="MQ2" t="s">
        <v>988</v>
      </c>
      <c r="MR2" t="s">
        <v>989</v>
      </c>
      <c r="MS2" t="s">
        <v>990</v>
      </c>
      <c r="MU2" t="s">
        <v>1000</v>
      </c>
      <c r="MX2" t="s">
        <v>421</v>
      </c>
      <c r="MY2">
        <v>1</v>
      </c>
      <c r="NO2" s="232" t="s">
        <v>1038</v>
      </c>
      <c r="NP2" s="232" t="s">
        <v>1039</v>
      </c>
      <c r="NQ2" s="232" t="s">
        <v>1040</v>
      </c>
      <c r="NR2" s="232" t="s">
        <v>1041</v>
      </c>
      <c r="NS2" s="232" t="s">
        <v>1042</v>
      </c>
      <c r="NT2" s="232" t="s">
        <v>1043</v>
      </c>
      <c r="NU2" s="232" t="s">
        <v>1044</v>
      </c>
      <c r="NV2" s="232" t="s">
        <v>1045</v>
      </c>
      <c r="NW2" s="232" t="s">
        <v>1046</v>
      </c>
      <c r="NX2" s="232" t="s">
        <v>1047</v>
      </c>
      <c r="NY2" s="232" t="s">
        <v>1048</v>
      </c>
      <c r="NZ2" s="232" t="s">
        <v>1049</v>
      </c>
      <c r="OA2" s="232" t="s">
        <v>1050</v>
      </c>
      <c r="OB2" s="232" t="s">
        <v>1051</v>
      </c>
      <c r="OC2" s="232" t="s">
        <v>1052</v>
      </c>
      <c r="OD2" s="232" t="s">
        <v>1053</v>
      </c>
      <c r="OE2" s="232" t="s">
        <v>1054</v>
      </c>
      <c r="OF2" s="233" t="s">
        <v>1071</v>
      </c>
      <c r="OG2" s="241" t="s">
        <v>1528</v>
      </c>
      <c r="OL2" t="s">
        <v>1080</v>
      </c>
      <c r="PB2" t="s">
        <v>1096</v>
      </c>
      <c r="PC2" t="s">
        <v>1096</v>
      </c>
      <c r="PD2" t="s">
        <v>1096</v>
      </c>
      <c r="PE2" t="s">
        <v>1097</v>
      </c>
      <c r="PG2" t="s">
        <v>1096</v>
      </c>
      <c r="PH2" t="s">
        <v>1098</v>
      </c>
      <c r="PI2" t="s">
        <v>1099</v>
      </c>
      <c r="PJ2" t="s">
        <v>1099</v>
      </c>
      <c r="PL2" t="s">
        <v>1096</v>
      </c>
      <c r="PU2" t="s">
        <v>21</v>
      </c>
      <c r="PV2" t="s">
        <v>332</v>
      </c>
      <c r="PW2" t="s">
        <v>69</v>
      </c>
      <c r="PX2" t="s">
        <v>26</v>
      </c>
      <c r="PY2" t="s">
        <v>377</v>
      </c>
      <c r="PZ2" t="s">
        <v>377</v>
      </c>
      <c r="QA2" t="s">
        <v>332</v>
      </c>
      <c r="QB2" t="s">
        <v>69</v>
      </c>
      <c r="QC2" t="s">
        <v>69</v>
      </c>
      <c r="QD2" t="s">
        <v>332</v>
      </c>
      <c r="QE2" t="s">
        <v>26</v>
      </c>
      <c r="QF2" t="s">
        <v>26</v>
      </c>
      <c r="QG2" t="s">
        <v>1163</v>
      </c>
      <c r="QH2" t="s">
        <v>113</v>
      </c>
      <c r="QI2" t="s">
        <v>22</v>
      </c>
      <c r="QJ2" t="s">
        <v>21</v>
      </c>
      <c r="QK2" t="s">
        <v>21</v>
      </c>
      <c r="QL2" t="s">
        <v>847</v>
      </c>
      <c r="QM2" t="s">
        <v>847</v>
      </c>
      <c r="QN2" t="s">
        <v>332</v>
      </c>
      <c r="QO2" t="s">
        <v>332</v>
      </c>
      <c r="QP2" t="s">
        <v>332</v>
      </c>
      <c r="QQ2" t="s">
        <v>332</v>
      </c>
      <c r="QR2" t="s">
        <v>332</v>
      </c>
      <c r="QS2" t="s">
        <v>332</v>
      </c>
      <c r="QT2" t="s">
        <v>332</v>
      </c>
      <c r="QU2" t="s">
        <v>332</v>
      </c>
      <c r="QV2" t="s">
        <v>332</v>
      </c>
      <c r="QW2" t="s">
        <v>332</v>
      </c>
      <c r="RB2" t="s">
        <v>1174</v>
      </c>
      <c r="RC2" t="s">
        <v>1177</v>
      </c>
      <c r="RD2" t="s">
        <v>1177</v>
      </c>
      <c r="RE2" t="s">
        <v>1215</v>
      </c>
      <c r="RF2" t="s">
        <v>1177</v>
      </c>
      <c r="RG2" t="s">
        <v>1177</v>
      </c>
      <c r="RH2" t="s">
        <v>1215</v>
      </c>
      <c r="RI2" t="s">
        <v>1177</v>
      </c>
      <c r="RJ2" t="s">
        <v>1177</v>
      </c>
      <c r="RK2" t="s">
        <v>1215</v>
      </c>
      <c r="RL2" t="s">
        <v>1177</v>
      </c>
      <c r="RM2" t="s">
        <v>1177</v>
      </c>
      <c r="RN2" t="s">
        <v>1177</v>
      </c>
      <c r="RQ2" t="s">
        <v>1175</v>
      </c>
      <c r="RU2" t="s">
        <v>1206</v>
      </c>
      <c r="RV2" t="str">
        <f>$RB$1</f>
        <v>CellularBlindProduct</v>
      </c>
      <c r="RW2" t="s">
        <v>21</v>
      </c>
      <c r="RX2" s="237" t="s">
        <v>847</v>
      </c>
      <c r="SE2" s="436" t="s">
        <v>1217</v>
      </c>
      <c r="SF2" s="436" t="s">
        <v>1217</v>
      </c>
      <c r="SG2" s="436" t="s">
        <v>1218</v>
      </c>
      <c r="SH2" s="436" t="s">
        <v>1218</v>
      </c>
      <c r="SI2" s="436" t="s">
        <v>1218</v>
      </c>
      <c r="SJ2" s="436" t="s">
        <v>1218</v>
      </c>
      <c r="SK2" s="436" t="s">
        <v>1989</v>
      </c>
      <c r="SL2" s="436" t="s">
        <v>1219</v>
      </c>
      <c r="SM2" s="436" t="s">
        <v>1217</v>
      </c>
      <c r="SN2" s="436" t="s">
        <v>1219</v>
      </c>
      <c r="SO2" s="436" t="s">
        <v>1220</v>
      </c>
      <c r="SP2" s="436" t="s">
        <v>1219</v>
      </c>
      <c r="SQ2" s="436" t="s">
        <v>1220</v>
      </c>
      <c r="SR2" s="436" t="s">
        <v>1221</v>
      </c>
      <c r="SS2" t="s">
        <v>1217</v>
      </c>
      <c r="ST2" t="s">
        <v>1218</v>
      </c>
      <c r="TB2" s="207" t="s">
        <v>1174</v>
      </c>
      <c r="TC2" s="199" t="str">
        <f>SH1</f>
        <v xml:space="preserve"> 25mm Single Cellular Blind Blockout Standard</v>
      </c>
      <c r="TD2" s="199" t="s">
        <v>332</v>
      </c>
      <c r="TE2" s="199" t="s">
        <v>332</v>
      </c>
      <c r="TF2" s="199" t="s">
        <v>332</v>
      </c>
      <c r="TG2" s="199" t="s">
        <v>332</v>
      </c>
      <c r="TH2" s="199" t="s">
        <v>332</v>
      </c>
      <c r="TI2" s="199" t="s">
        <v>332</v>
      </c>
      <c r="TJ2" s="199" t="s">
        <v>332</v>
      </c>
      <c r="TK2" s="199" t="s">
        <v>332</v>
      </c>
      <c r="TL2" s="199" t="s">
        <v>332</v>
      </c>
      <c r="TM2" s="199" t="str">
        <f>SF1</f>
        <v xml:space="preserve"> 25mm Single Cellular Blind Translucent Standard</v>
      </c>
      <c r="TN2" s="199" t="s">
        <v>332</v>
      </c>
      <c r="TO2" s="199" t="s">
        <v>332</v>
      </c>
      <c r="TP2" s="199" t="str">
        <f>SQ1</f>
        <v xml:space="preserve"> 25mm Single Cellular Blind Translucent Paisley</v>
      </c>
      <c r="TQ2" s="199" t="str">
        <f>SJ1</f>
        <v xml:space="preserve"> 25mm Single Cellular Blind Translucent Sheer</v>
      </c>
      <c r="TR2" s="199" t="s">
        <v>332</v>
      </c>
      <c r="TS2" s="199" t="s">
        <v>332</v>
      </c>
      <c r="TT2" s="199" t="s">
        <v>332</v>
      </c>
      <c r="TU2" s="199" t="s">
        <v>332</v>
      </c>
      <c r="TV2" s="199" t="s">
        <v>332</v>
      </c>
      <c r="TW2" s="199" t="s">
        <v>332</v>
      </c>
      <c r="TX2" s="199" t="s">
        <v>332</v>
      </c>
      <c r="TY2" s="199" t="str">
        <f>SP1</f>
        <v xml:space="preserve"> 25mm Single Cellular Blind Translucent Thatched</v>
      </c>
      <c r="TZ2" s="199" t="str">
        <f>SL1</f>
        <v xml:space="preserve"> 25mm Single Cellular Blind Translucent Woven</v>
      </c>
      <c r="UA2" s="199" t="str">
        <f>$SH$1</f>
        <v xml:space="preserve"> 25mm Single Cellular Blind Blockout Standard</v>
      </c>
      <c r="UB2" s="199" t="str">
        <f>$XF$1</f>
        <v>Cellular Colour 2 25mm Single Cellular Blind</v>
      </c>
      <c r="UC2" s="436" t="s">
        <v>1271</v>
      </c>
      <c r="UD2" s="436" t="s">
        <v>1271</v>
      </c>
      <c r="UE2" s="436" t="s">
        <v>1255</v>
      </c>
      <c r="UF2" s="436" t="s">
        <v>1255</v>
      </c>
      <c r="UG2" s="35" t="s">
        <v>2018</v>
      </c>
      <c r="UH2" s="204" t="s">
        <v>1307</v>
      </c>
      <c r="UI2" s="35" t="s">
        <v>1312</v>
      </c>
      <c r="UJ2" s="35" t="s">
        <v>1317</v>
      </c>
      <c r="UK2" s="35" t="s">
        <v>1322</v>
      </c>
      <c r="UL2" s="204" t="s">
        <v>1317</v>
      </c>
      <c r="UM2" s="204" t="s">
        <v>1322</v>
      </c>
      <c r="UN2" s="35" t="s">
        <v>1291</v>
      </c>
      <c r="UO2" s="241" t="s">
        <v>1271</v>
      </c>
      <c r="US2" t="s">
        <v>1297</v>
      </c>
      <c r="UT2" t="s">
        <v>1206</v>
      </c>
      <c r="UU2" t="s">
        <v>332</v>
      </c>
      <c r="UV2" t="s">
        <v>332</v>
      </c>
      <c r="UW2" t="s">
        <v>332</v>
      </c>
      <c r="UX2" t="s">
        <v>332</v>
      </c>
      <c r="UY2" t="s">
        <v>332</v>
      </c>
      <c r="UZ2" t="s">
        <v>332</v>
      </c>
      <c r="VA2" t="s">
        <v>332</v>
      </c>
      <c r="VB2" t="s">
        <v>332</v>
      </c>
      <c r="VC2" t="s">
        <v>332</v>
      </c>
      <c r="VD2" s="35" t="s">
        <v>1451</v>
      </c>
      <c r="VE2" t="s">
        <v>1449</v>
      </c>
      <c r="VF2" t="s">
        <v>332</v>
      </c>
      <c r="VL2" s="245" t="s">
        <v>1206</v>
      </c>
      <c r="VM2" s="245" t="str">
        <f>VS1</f>
        <v>Corded Standard 25mm Single</v>
      </c>
      <c r="VN2" s="245" t="str">
        <f>WD1</f>
        <v>Corded Standard 38mm Single</v>
      </c>
      <c r="VO2" s="245" t="str">
        <f>WD47</f>
        <v>Corded Standard 45mm Single</v>
      </c>
      <c r="VP2" s="245" t="str">
        <f>WD83</f>
        <v>Corded Standard 45mm Single Cell In A Cell</v>
      </c>
      <c r="VQ2" s="245" t="str">
        <f>WO1</f>
        <v>Corded Standard 38mm Double</v>
      </c>
      <c r="VR2" t="s">
        <v>1177</v>
      </c>
      <c r="VS2" s="204" t="s">
        <v>1177</v>
      </c>
      <c r="VT2" t="s">
        <v>1215</v>
      </c>
      <c r="VU2" s="204" t="s">
        <v>1177</v>
      </c>
      <c r="VV2" t="s">
        <v>1177</v>
      </c>
      <c r="VW2" t="s">
        <v>1215</v>
      </c>
      <c r="VX2" t="s">
        <v>1177</v>
      </c>
      <c r="VY2" t="s">
        <v>1177</v>
      </c>
      <c r="VZ2" t="s">
        <v>1215</v>
      </c>
      <c r="WA2" t="s">
        <v>1177</v>
      </c>
      <c r="WB2" t="s">
        <v>1177</v>
      </c>
      <c r="WC2" t="s">
        <v>1177</v>
      </c>
      <c r="WD2" t="s">
        <v>1177</v>
      </c>
      <c r="WE2" t="s">
        <v>1215</v>
      </c>
      <c r="WF2" t="s">
        <v>1177</v>
      </c>
      <c r="WG2" t="s">
        <v>1177</v>
      </c>
      <c r="WH2" t="s">
        <v>1215</v>
      </c>
      <c r="WI2" t="s">
        <v>1177</v>
      </c>
      <c r="WJ2" t="s">
        <v>1177</v>
      </c>
      <c r="WK2" t="s">
        <v>1215</v>
      </c>
      <c r="WL2" t="s">
        <v>1177</v>
      </c>
      <c r="WM2" t="s">
        <v>1177</v>
      </c>
      <c r="WN2" t="s">
        <v>1177</v>
      </c>
      <c r="WO2" t="s">
        <v>1177</v>
      </c>
      <c r="WP2" t="s">
        <v>1215</v>
      </c>
      <c r="WQ2" t="s">
        <v>1177</v>
      </c>
      <c r="WR2" t="s">
        <v>1177</v>
      </c>
      <c r="WS2" t="s">
        <v>1215</v>
      </c>
      <c r="WT2" t="s">
        <v>1177</v>
      </c>
      <c r="WU2" t="s">
        <v>1177</v>
      </c>
      <c r="WV2" t="s">
        <v>1215</v>
      </c>
      <c r="WW2" t="s">
        <v>1177</v>
      </c>
      <c r="WX2" t="s">
        <v>1177</v>
      </c>
      <c r="WY2" t="s">
        <v>1177</v>
      </c>
      <c r="XF2" s="436" t="s">
        <v>1271</v>
      </c>
      <c r="XG2" s="436" t="s">
        <v>1271</v>
      </c>
      <c r="XH2" s="436" t="s">
        <v>1934</v>
      </c>
      <c r="XI2" s="241" t="s">
        <v>1271</v>
      </c>
      <c r="XJ2" t="s">
        <v>2205</v>
      </c>
      <c r="XQ2" t="s">
        <v>332</v>
      </c>
      <c r="XS2" s="207" t="s">
        <v>1174</v>
      </c>
      <c r="XT2" s="248" t="str">
        <f t="shared" ref="XT2:XZ6" si="0">$XQ$1</f>
        <v>Cellular Colour 2 NA</v>
      </c>
      <c r="XU2" s="248" t="str">
        <f t="shared" si="0"/>
        <v>Cellular Colour 2 NA</v>
      </c>
      <c r="XV2" s="248" t="str">
        <f t="shared" si="0"/>
        <v>Cellular Colour 2 NA</v>
      </c>
      <c r="XW2" s="248" t="str">
        <f t="shared" si="0"/>
        <v>Cellular Colour 2 NA</v>
      </c>
      <c r="XX2" s="248" t="str">
        <f t="shared" si="0"/>
        <v>Cellular Colour 2 NA</v>
      </c>
      <c r="XY2" s="248" t="str">
        <f t="shared" si="0"/>
        <v>Cellular Colour 2 NA</v>
      </c>
      <c r="XZ2" s="248" t="str">
        <f t="shared" si="0"/>
        <v>Cellular Colour 2 NA</v>
      </c>
      <c r="YA2" s="248" t="str">
        <f t="shared" ref="YA2:YP6" si="1">$XQ$1</f>
        <v>Cellular Colour 2 NA</v>
      </c>
      <c r="YB2" s="248" t="str">
        <f t="shared" si="1"/>
        <v>Cellular Colour 2 NA</v>
      </c>
      <c r="YC2" s="248" t="str">
        <f t="shared" si="1"/>
        <v>Cellular Colour 2 NA</v>
      </c>
      <c r="YD2" s="248" t="str">
        <f t="shared" si="1"/>
        <v>Cellular Colour 2 NA</v>
      </c>
      <c r="YE2" s="248" t="str">
        <f t="shared" si="1"/>
        <v>Cellular Colour 2 NA</v>
      </c>
      <c r="YF2" s="248" t="str">
        <f t="shared" si="1"/>
        <v>Cellular Colour 2 NA</v>
      </c>
      <c r="YG2" s="248" t="str">
        <f t="shared" si="1"/>
        <v>Cellular Colour 2 NA</v>
      </c>
      <c r="YH2" s="248" t="str">
        <f t="shared" si="1"/>
        <v>Cellular Colour 2 NA</v>
      </c>
      <c r="YI2" s="248" t="str">
        <f t="shared" si="1"/>
        <v>Cellular Colour 2 NA</v>
      </c>
      <c r="YJ2" s="248" t="str">
        <f t="shared" si="1"/>
        <v>Cellular Colour 2 NA</v>
      </c>
      <c r="YK2" s="248" t="str">
        <f t="shared" si="1"/>
        <v>Cellular Colour 2 NA</v>
      </c>
      <c r="YL2" s="248" t="str">
        <f t="shared" si="1"/>
        <v>Cellular Colour 2 NA</v>
      </c>
      <c r="YM2" s="248" t="str">
        <f t="shared" si="1"/>
        <v>Cellular Colour 2 NA</v>
      </c>
      <c r="YN2" s="248" t="str">
        <f t="shared" si="1"/>
        <v>Cellular Colour 2 NA</v>
      </c>
      <c r="YO2" s="248" t="str">
        <f t="shared" si="1"/>
        <v>Cellular Colour 2 NA</v>
      </c>
      <c r="YP2" s="248" t="str">
        <f t="shared" si="1"/>
        <v>Cellular Colour 2 NA</v>
      </c>
      <c r="YQ2" s="199" t="str">
        <f>$XF$1</f>
        <v>Cellular Colour 2 25mm Single Cellular Blind</v>
      </c>
      <c r="YR2" s="199" t="str">
        <f>$SH$1</f>
        <v xml:space="preserve"> 25mm Single Cellular Blind Blockout Standard</v>
      </c>
      <c r="YU2" t="s">
        <v>1206</v>
      </c>
      <c r="YV2" s="35" t="s">
        <v>21</v>
      </c>
      <c r="YW2" s="206" t="s">
        <v>1194</v>
      </c>
      <c r="YX2" s="206" t="s">
        <v>1194</v>
      </c>
      <c r="YY2" s="35" t="s">
        <v>25</v>
      </c>
      <c r="YZ2" s="35" t="s">
        <v>25</v>
      </c>
      <c r="ZA2" s="35" t="s">
        <v>25</v>
      </c>
      <c r="ZB2" s="35" t="s">
        <v>21</v>
      </c>
      <c r="ZC2" s="35" t="s">
        <v>1196</v>
      </c>
      <c r="ZD2" s="35" t="s">
        <v>1196</v>
      </c>
      <c r="ZE2" s="35" t="s">
        <v>332</v>
      </c>
      <c r="ZF2" s="35" t="s">
        <v>332</v>
      </c>
      <c r="ZG2" t="s">
        <v>21</v>
      </c>
      <c r="ZI2" s="206" t="s">
        <v>1175</v>
      </c>
      <c r="ZK2" s="199" t="s">
        <v>1206</v>
      </c>
      <c r="ZL2" s="199">
        <v>10.8</v>
      </c>
      <c r="ZM2" s="199">
        <v>200</v>
      </c>
      <c r="ZN2" s="199">
        <v>3000</v>
      </c>
      <c r="ZO2" s="199">
        <v>300</v>
      </c>
      <c r="ZP2" s="199">
        <v>3600</v>
      </c>
      <c r="ZQ2" s="199" t="s">
        <v>1206</v>
      </c>
      <c r="ZR2" s="199">
        <v>7.5</v>
      </c>
      <c r="ZS2" s="199">
        <v>200</v>
      </c>
      <c r="ZT2" s="199">
        <v>3000</v>
      </c>
      <c r="ZU2" s="199">
        <v>300</v>
      </c>
      <c r="ZV2" s="199">
        <v>2500</v>
      </c>
      <c r="ZW2" s="199" t="s">
        <v>1206</v>
      </c>
      <c r="ZX2" s="199">
        <v>7.5</v>
      </c>
      <c r="ZY2" s="199">
        <v>200</v>
      </c>
      <c r="ZZ2" s="199">
        <v>3000</v>
      </c>
      <c r="AAA2" s="199">
        <v>300</v>
      </c>
      <c r="AAB2" s="199">
        <v>2500</v>
      </c>
      <c r="AAC2" s="353" t="s">
        <v>1206</v>
      </c>
      <c r="AAD2" s="353">
        <v>10.8</v>
      </c>
      <c r="AAE2" s="353">
        <v>200</v>
      </c>
      <c r="AAF2" s="353">
        <v>3000</v>
      </c>
      <c r="AAG2" s="353">
        <v>300</v>
      </c>
      <c r="AAH2" s="199">
        <v>3600</v>
      </c>
      <c r="AAK2" t="s">
        <v>1094</v>
      </c>
      <c r="AAL2" t="str">
        <f>$CS$17</f>
        <v>Oval Bottom Rail 2</v>
      </c>
      <c r="AAM2" t="str">
        <f>$CT$2</f>
        <v>Sewn In Pocket</v>
      </c>
      <c r="ABB2" t="s">
        <v>1094</v>
      </c>
      <c r="ABC2">
        <v>2</v>
      </c>
      <c r="ABD2" t="s">
        <v>767</v>
      </c>
      <c r="ABE2" t="s">
        <v>332</v>
      </c>
      <c r="ABF2" t="s">
        <v>405</v>
      </c>
      <c r="ABL2">
        <v>2</v>
      </c>
      <c r="ABM2" t="s">
        <v>1481</v>
      </c>
      <c r="ABN2" t="s">
        <v>1507</v>
      </c>
      <c r="ABO2" t="s">
        <v>1508</v>
      </c>
      <c r="ABP2" t="s">
        <v>1509</v>
      </c>
      <c r="ABQ2" t="s">
        <v>1510</v>
      </c>
      <c r="ABR2" t="s">
        <v>1511</v>
      </c>
      <c r="ABS2" t="s">
        <v>1512</v>
      </c>
      <c r="ABT2" t="s">
        <v>1513</v>
      </c>
      <c r="ABU2" t="s">
        <v>1514</v>
      </c>
      <c r="ABW2">
        <v>2</v>
      </c>
      <c r="ABX2">
        <v>1200</v>
      </c>
      <c r="ABY2">
        <v>3000</v>
      </c>
    </row>
    <row r="3" spans="1:753" ht="15">
      <c r="A3" t="s">
        <v>17</v>
      </c>
      <c r="B3">
        <v>37</v>
      </c>
      <c r="C3" t="s">
        <v>42</v>
      </c>
      <c r="D3" t="s">
        <v>43</v>
      </c>
      <c r="E3" t="s">
        <v>44</v>
      </c>
      <c r="F3" t="s">
        <v>45</v>
      </c>
      <c r="G3" t="s">
        <v>46</v>
      </c>
      <c r="H3" t="s">
        <v>47</v>
      </c>
      <c r="I3" t="s">
        <v>18</v>
      </c>
      <c r="J3">
        <v>8100</v>
      </c>
      <c r="K3" t="s">
        <v>48</v>
      </c>
      <c r="L3" t="s">
        <v>136</v>
      </c>
      <c r="M3">
        <v>800</v>
      </c>
      <c r="N3" t="s">
        <v>4</v>
      </c>
      <c r="O3">
        <v>217049</v>
      </c>
      <c r="P3" t="s">
        <v>10</v>
      </c>
      <c r="Q3">
        <v>2237</v>
      </c>
      <c r="R3" t="s">
        <v>41</v>
      </c>
      <c r="S3" t="s">
        <v>28</v>
      </c>
      <c r="T3">
        <v>2129</v>
      </c>
      <c r="V3" s="1"/>
      <c r="W3" t="s">
        <v>212</v>
      </c>
      <c r="Y3" t="s">
        <v>237</v>
      </c>
      <c r="Z3" t="s">
        <v>240</v>
      </c>
      <c r="AA3" s="35" t="s">
        <v>438</v>
      </c>
      <c r="AB3" t="s">
        <v>1142</v>
      </c>
      <c r="AD3" t="s">
        <v>218</v>
      </c>
      <c r="AE3" t="s">
        <v>332</v>
      </c>
      <c r="AF3" t="s">
        <v>26</v>
      </c>
      <c r="AH3" t="s">
        <v>26</v>
      </c>
      <c r="AI3" t="s">
        <v>225</v>
      </c>
      <c r="AJ3" t="s">
        <v>231</v>
      </c>
      <c r="AL3" t="s">
        <v>271</v>
      </c>
      <c r="AN3" t="s">
        <v>837</v>
      </c>
      <c r="AP3" t="s">
        <v>2288</v>
      </c>
      <c r="AQ3" t="s">
        <v>2298</v>
      </c>
      <c r="AR3" t="s">
        <v>2293</v>
      </c>
      <c r="AW3" s="36"/>
      <c r="BA3" t="s">
        <v>2052</v>
      </c>
      <c r="BC3" s="210" t="s">
        <v>1541</v>
      </c>
      <c r="BD3" t="s">
        <v>554</v>
      </c>
      <c r="BE3" t="s">
        <v>551</v>
      </c>
      <c r="BF3" s="327" t="s">
        <v>551</v>
      </c>
      <c r="BG3" s="327" t="s">
        <v>551</v>
      </c>
      <c r="BH3" s="327" t="s">
        <v>551</v>
      </c>
      <c r="BI3" t="s">
        <v>300</v>
      </c>
      <c r="BK3" t="s">
        <v>306</v>
      </c>
      <c r="BM3" t="s">
        <v>331</v>
      </c>
      <c r="BN3" t="s">
        <v>332</v>
      </c>
      <c r="BS3" t="s">
        <v>332</v>
      </c>
      <c r="BT3" t="s">
        <v>69</v>
      </c>
      <c r="BU3" t="s">
        <v>332</v>
      </c>
      <c r="BW3" t="s">
        <v>352</v>
      </c>
      <c r="BY3" t="s">
        <v>360</v>
      </c>
      <c r="CA3" t="s">
        <v>359</v>
      </c>
      <c r="CD3" t="s">
        <v>371</v>
      </c>
      <c r="CE3" t="s">
        <v>371</v>
      </c>
      <c r="CF3" t="s">
        <v>386</v>
      </c>
      <c r="CG3" t="s">
        <v>386</v>
      </c>
      <c r="CH3" t="s">
        <v>386</v>
      </c>
      <c r="CJ3" t="s">
        <v>22</v>
      </c>
      <c r="CM3" t="s">
        <v>352</v>
      </c>
      <c r="CN3" t="s">
        <v>352</v>
      </c>
      <c r="CO3" t="s">
        <v>352</v>
      </c>
      <c r="CQ3" t="s">
        <v>403</v>
      </c>
      <c r="CS3" t="s">
        <v>408</v>
      </c>
      <c r="CT3" t="s">
        <v>332</v>
      </c>
      <c r="CU3" t="s">
        <v>322</v>
      </c>
      <c r="CV3" t="s">
        <v>332</v>
      </c>
      <c r="CX3" t="s">
        <v>352</v>
      </c>
      <c r="CY3" t="s">
        <v>352</v>
      </c>
      <c r="CZ3" t="s">
        <v>352</v>
      </c>
      <c r="DA3" t="s">
        <v>421</v>
      </c>
      <c r="DB3">
        <v>1</v>
      </c>
      <c r="DD3" t="s">
        <v>22</v>
      </c>
      <c r="DE3" t="s">
        <v>332</v>
      </c>
      <c r="DG3" t="s">
        <v>384</v>
      </c>
      <c r="DI3" t="s">
        <v>543</v>
      </c>
      <c r="DJ3" t="s">
        <v>438</v>
      </c>
      <c r="DK3" t="s">
        <v>438</v>
      </c>
      <c r="DL3" t="s">
        <v>322</v>
      </c>
      <c r="DN3" s="106"/>
      <c r="DO3" s="205" t="s">
        <v>154</v>
      </c>
      <c r="DP3" s="205" t="s">
        <v>955</v>
      </c>
      <c r="DQ3" s="207" t="s">
        <v>956</v>
      </c>
      <c r="DR3" s="182" t="s">
        <v>564</v>
      </c>
      <c r="DS3" s="182" t="s">
        <v>565</v>
      </c>
      <c r="DT3" s="182" t="s">
        <v>566</v>
      </c>
      <c r="DU3" s="182" t="s">
        <v>567</v>
      </c>
      <c r="DV3" s="182" t="s">
        <v>568</v>
      </c>
      <c r="DW3" s="182" t="s">
        <v>569</v>
      </c>
      <c r="DX3" s="110" t="s">
        <v>953</v>
      </c>
      <c r="DY3" s="182" t="s">
        <v>570</v>
      </c>
      <c r="DZ3" s="182" t="s">
        <v>571</v>
      </c>
      <c r="EA3" s="182" t="s">
        <v>572</v>
      </c>
      <c r="EB3" s="182" t="s">
        <v>573</v>
      </c>
      <c r="EC3" s="182" t="s">
        <v>574</v>
      </c>
      <c r="ED3" s="182" t="s">
        <v>575</v>
      </c>
      <c r="EE3" s="182" t="s">
        <v>952</v>
      </c>
      <c r="EF3" s="110"/>
      <c r="EG3" s="35" t="s">
        <v>357</v>
      </c>
      <c r="EJ3" t="s">
        <v>26</v>
      </c>
      <c r="EK3" t="s">
        <v>69</v>
      </c>
      <c r="EM3" t="s">
        <v>599</v>
      </c>
      <c r="EN3" t="s">
        <v>599</v>
      </c>
      <c r="EO3" t="s">
        <v>599</v>
      </c>
      <c r="EQ3" t="s">
        <v>22</v>
      </c>
      <c r="ER3" t="s">
        <v>22</v>
      </c>
      <c r="ES3" t="s">
        <v>332</v>
      </c>
      <c r="ET3" t="s">
        <v>332</v>
      </c>
      <c r="EU3" t="s">
        <v>872</v>
      </c>
      <c r="EW3" t="s">
        <v>608</v>
      </c>
      <c r="EX3" t="s">
        <v>608</v>
      </c>
      <c r="EY3" t="s">
        <v>609</v>
      </c>
      <c r="FA3" s="210" t="s">
        <v>553</v>
      </c>
      <c r="FB3" s="210" t="s">
        <v>615</v>
      </c>
      <c r="FC3" t="s">
        <v>307</v>
      </c>
      <c r="FD3" t="s">
        <v>22</v>
      </c>
      <c r="FF3" t="s">
        <v>619</v>
      </c>
      <c r="FG3" t="s">
        <v>307</v>
      </c>
      <c r="FH3" t="s">
        <v>307</v>
      </c>
      <c r="FJ3" t="s">
        <v>307</v>
      </c>
      <c r="FK3" t="s">
        <v>307</v>
      </c>
      <c r="FM3" t="s">
        <v>577</v>
      </c>
      <c r="FP3" t="s">
        <v>666</v>
      </c>
      <c r="FR3" t="s">
        <v>227</v>
      </c>
      <c r="FS3" t="s">
        <v>227</v>
      </c>
      <c r="FT3" t="s">
        <v>227</v>
      </c>
      <c r="FU3" t="s">
        <v>227</v>
      </c>
      <c r="FV3" t="s">
        <v>227</v>
      </c>
      <c r="FW3" t="s">
        <v>227</v>
      </c>
      <c r="FX3" t="s">
        <v>227</v>
      </c>
      <c r="FY3" t="s">
        <v>227</v>
      </c>
      <c r="FZ3" t="s">
        <v>227</v>
      </c>
      <c r="GA3" t="s">
        <v>227</v>
      </c>
      <c r="GB3" t="s">
        <v>227</v>
      </c>
      <c r="GC3" t="s">
        <v>227</v>
      </c>
      <c r="GE3" t="s">
        <v>227</v>
      </c>
      <c r="GG3" t="s">
        <v>227</v>
      </c>
      <c r="GH3" t="s">
        <v>227</v>
      </c>
      <c r="GI3" t="s">
        <v>227</v>
      </c>
      <c r="GJ3" t="s">
        <v>227</v>
      </c>
      <c r="GK3" t="s">
        <v>227</v>
      </c>
      <c r="GL3" t="s">
        <v>227</v>
      </c>
      <c r="GM3" t="s">
        <v>227</v>
      </c>
      <c r="GN3" t="s">
        <v>227</v>
      </c>
      <c r="GO3" t="s">
        <v>227</v>
      </c>
      <c r="GP3" t="s">
        <v>227</v>
      </c>
      <c r="GQ3" t="s">
        <v>227</v>
      </c>
      <c r="GR3" t="s">
        <v>227</v>
      </c>
      <c r="GS3" s="327" t="s">
        <v>227</v>
      </c>
      <c r="GT3" t="s">
        <v>227</v>
      </c>
      <c r="GU3" t="s">
        <v>227</v>
      </c>
      <c r="GV3" t="s">
        <v>227</v>
      </c>
      <c r="GW3" t="s">
        <v>227</v>
      </c>
      <c r="GX3" s="327" t="s">
        <v>227</v>
      </c>
      <c r="GY3" t="s">
        <v>227</v>
      </c>
      <c r="HA3" t="s">
        <v>608</v>
      </c>
      <c r="HB3" t="s">
        <v>608</v>
      </c>
      <c r="HC3" t="s">
        <v>608</v>
      </c>
      <c r="HD3" t="s">
        <v>608</v>
      </c>
      <c r="HE3" t="s">
        <v>608</v>
      </c>
      <c r="HF3" t="s">
        <v>608</v>
      </c>
      <c r="HG3" t="s">
        <v>608</v>
      </c>
      <c r="HH3" t="s">
        <v>608</v>
      </c>
      <c r="HI3" t="s">
        <v>608</v>
      </c>
      <c r="HJ3" t="s">
        <v>608</v>
      </c>
      <c r="HK3" t="s">
        <v>608</v>
      </c>
      <c r="HL3" t="s">
        <v>608</v>
      </c>
      <c r="HM3" t="s">
        <v>608</v>
      </c>
      <c r="HN3" t="s">
        <v>608</v>
      </c>
      <c r="HO3" t="s">
        <v>608</v>
      </c>
      <c r="HP3" t="s">
        <v>608</v>
      </c>
      <c r="HQ3" t="s">
        <v>608</v>
      </c>
      <c r="HR3" t="s">
        <v>608</v>
      </c>
      <c r="HS3" t="s">
        <v>609</v>
      </c>
      <c r="HT3" t="s">
        <v>609</v>
      </c>
      <c r="HU3" t="s">
        <v>609</v>
      </c>
      <c r="HX3" t="s">
        <v>755</v>
      </c>
      <c r="HZ3" t="s">
        <v>26</v>
      </c>
      <c r="IA3" t="s">
        <v>26</v>
      </c>
      <c r="IB3" t="s">
        <v>322</v>
      </c>
      <c r="IC3" t="s">
        <v>26</v>
      </c>
      <c r="ID3" t="s">
        <v>328</v>
      </c>
      <c r="IE3" t="s">
        <v>322</v>
      </c>
      <c r="IF3" t="s">
        <v>766</v>
      </c>
      <c r="IG3" t="s">
        <v>766</v>
      </c>
      <c r="IH3" t="s">
        <v>766</v>
      </c>
      <c r="II3" t="s">
        <v>766</v>
      </c>
      <c r="IJ3" t="s">
        <v>322</v>
      </c>
      <c r="IK3" t="s">
        <v>322</v>
      </c>
      <c r="IL3" t="s">
        <v>331</v>
      </c>
      <c r="IM3" t="s">
        <v>767</v>
      </c>
      <c r="IN3" t="s">
        <v>322</v>
      </c>
      <c r="IO3" t="s">
        <v>326</v>
      </c>
      <c r="IP3" t="s">
        <v>322</v>
      </c>
      <c r="IQ3" t="s">
        <v>322</v>
      </c>
      <c r="IR3" t="s">
        <v>331</v>
      </c>
      <c r="IS3" t="s">
        <v>331</v>
      </c>
      <c r="IT3" t="s">
        <v>26</v>
      </c>
      <c r="IU3" t="s">
        <v>26</v>
      </c>
      <c r="IV3" t="s">
        <v>26</v>
      </c>
      <c r="IW3" t="s">
        <v>328</v>
      </c>
      <c r="IX3" s="210" t="s">
        <v>554</v>
      </c>
      <c r="IY3" t="s">
        <v>549</v>
      </c>
      <c r="IZ3" t="s">
        <v>22</v>
      </c>
      <c r="JA3" t="s">
        <v>332</v>
      </c>
      <c r="JB3" t="s">
        <v>332</v>
      </c>
      <c r="JC3" t="s">
        <v>332</v>
      </c>
      <c r="JD3" t="s">
        <v>332</v>
      </c>
      <c r="JE3" t="s">
        <v>795</v>
      </c>
      <c r="JF3" t="s">
        <v>332</v>
      </c>
      <c r="JG3" t="s">
        <v>332</v>
      </c>
      <c r="JH3" t="s">
        <v>69</v>
      </c>
      <c r="JI3" t="s">
        <v>22</v>
      </c>
      <c r="JJ3" t="s">
        <v>22</v>
      </c>
      <c r="JK3" t="s">
        <v>22</v>
      </c>
      <c r="JL3" t="s">
        <v>22</v>
      </c>
      <c r="JM3" t="s">
        <v>22</v>
      </c>
      <c r="JN3" t="s">
        <v>22</v>
      </c>
      <c r="JO3" t="s">
        <v>22</v>
      </c>
      <c r="JP3" t="s">
        <v>22</v>
      </c>
      <c r="JQ3" t="s">
        <v>22</v>
      </c>
      <c r="JR3" t="s">
        <v>22</v>
      </c>
      <c r="JS3" t="s">
        <v>69</v>
      </c>
      <c r="JT3" t="s">
        <v>22</v>
      </c>
      <c r="JU3" t="s">
        <v>22</v>
      </c>
      <c r="JV3" t="s">
        <v>22</v>
      </c>
      <c r="JW3" t="s">
        <v>22</v>
      </c>
      <c r="JX3" t="s">
        <v>332</v>
      </c>
      <c r="JY3" s="241" t="s">
        <v>22</v>
      </c>
      <c r="KB3" s="210" t="s">
        <v>554</v>
      </c>
      <c r="KC3" s="210" t="s">
        <v>554</v>
      </c>
      <c r="KD3" t="s">
        <v>551</v>
      </c>
      <c r="KF3" t="s">
        <v>232</v>
      </c>
      <c r="KG3" t="s">
        <v>656</v>
      </c>
      <c r="KK3" t="s">
        <v>842</v>
      </c>
      <c r="KN3" t="s">
        <v>848</v>
      </c>
      <c r="KP3" t="s">
        <v>850</v>
      </c>
      <c r="KQ3" t="s">
        <v>851</v>
      </c>
      <c r="KR3" t="s">
        <v>853</v>
      </c>
      <c r="KS3" t="s">
        <v>856</v>
      </c>
      <c r="KV3" t="s">
        <v>26</v>
      </c>
      <c r="KY3" t="s">
        <v>850</v>
      </c>
      <c r="KZ3" t="s">
        <v>858</v>
      </c>
      <c r="LA3" t="s">
        <v>26</v>
      </c>
      <c r="LB3" t="s">
        <v>861</v>
      </c>
      <c r="LC3" t="s">
        <v>843</v>
      </c>
      <c r="LD3" t="s">
        <v>863</v>
      </c>
      <c r="LJ3" t="s">
        <v>422</v>
      </c>
      <c r="LK3">
        <v>0</v>
      </c>
      <c r="LP3" t="s">
        <v>337</v>
      </c>
      <c r="LQ3" t="s">
        <v>339</v>
      </c>
      <c r="LR3" t="s">
        <v>341</v>
      </c>
      <c r="LS3" t="s">
        <v>345</v>
      </c>
      <c r="LU3" t="s">
        <v>348</v>
      </c>
      <c r="LW3" s="196" t="s">
        <v>301</v>
      </c>
      <c r="LX3" s="186" t="s">
        <v>888</v>
      </c>
      <c r="LY3" s="234" t="s">
        <v>1074</v>
      </c>
      <c r="LZ3" s="186" t="s">
        <v>463</v>
      </c>
      <c r="MA3" s="186" t="s">
        <v>485</v>
      </c>
      <c r="MB3" s="186"/>
      <c r="MD3" s="201" t="s">
        <v>870</v>
      </c>
      <c r="ME3" s="187" t="s">
        <v>301</v>
      </c>
      <c r="MF3" s="187" t="s">
        <v>301</v>
      </c>
      <c r="MG3" s="187" t="s">
        <v>332</v>
      </c>
      <c r="MI3" t="s">
        <v>318</v>
      </c>
      <c r="MJ3" s="187" t="s">
        <v>22</v>
      </c>
      <c r="MK3" t="s">
        <v>304</v>
      </c>
      <c r="ML3" t="s">
        <v>69</v>
      </c>
      <c r="MN3" t="s">
        <v>2285</v>
      </c>
      <c r="MP3" t="s">
        <v>991</v>
      </c>
      <c r="MQ3" t="s">
        <v>992</v>
      </c>
      <c r="MR3" t="s">
        <v>29</v>
      </c>
      <c r="MS3" t="s">
        <v>993</v>
      </c>
      <c r="MU3" t="s">
        <v>322</v>
      </c>
      <c r="MX3" t="s">
        <v>1002</v>
      </c>
      <c r="MY3">
        <v>2</v>
      </c>
      <c r="NN3" t="s">
        <v>306</v>
      </c>
      <c r="NO3" s="232" t="s">
        <v>69</v>
      </c>
      <c r="NP3" s="232" t="s">
        <v>22</v>
      </c>
      <c r="NQ3" s="232" t="s">
        <v>22</v>
      </c>
      <c r="NR3" s="232" t="s">
        <v>22</v>
      </c>
      <c r="NS3" s="232" t="s">
        <v>22</v>
      </c>
      <c r="NT3" s="232" t="s">
        <v>22</v>
      </c>
      <c r="NU3" s="232" t="s">
        <v>22</v>
      </c>
      <c r="NV3" s="232" t="s">
        <v>22</v>
      </c>
      <c r="NW3" s="232" t="s">
        <v>22</v>
      </c>
      <c r="NX3" s="232" t="s">
        <v>22</v>
      </c>
      <c r="NY3" s="232" t="s">
        <v>22</v>
      </c>
      <c r="NZ3" s="232" t="s">
        <v>22</v>
      </c>
      <c r="OA3" s="232" t="s">
        <v>22</v>
      </c>
      <c r="OB3" s="232" t="s">
        <v>22</v>
      </c>
      <c r="OC3" s="232" t="s">
        <v>22</v>
      </c>
      <c r="OD3" s="232" t="s">
        <v>22</v>
      </c>
      <c r="OE3" s="232" t="s">
        <v>332</v>
      </c>
      <c r="OF3" t="s">
        <v>69</v>
      </c>
      <c r="OG3" s="241" t="s">
        <v>22</v>
      </c>
      <c r="OL3" t="s">
        <v>360</v>
      </c>
      <c r="PB3" t="s">
        <v>1100</v>
      </c>
      <c r="PC3" t="s">
        <v>1101</v>
      </c>
      <c r="PD3" t="s">
        <v>1101</v>
      </c>
      <c r="PE3" t="s">
        <v>1096</v>
      </c>
      <c r="PG3" t="s">
        <v>1102</v>
      </c>
      <c r="PH3" t="s">
        <v>409</v>
      </c>
      <c r="PI3" t="s">
        <v>1103</v>
      </c>
      <c r="PJ3" t="s">
        <v>1103</v>
      </c>
      <c r="PL3" t="s">
        <v>1098</v>
      </c>
      <c r="PU3" t="s">
        <v>28</v>
      </c>
      <c r="PW3" t="s">
        <v>22</v>
      </c>
      <c r="PX3" t="s">
        <v>113</v>
      </c>
      <c r="PY3" t="s">
        <v>409</v>
      </c>
      <c r="PZ3" t="s">
        <v>409</v>
      </c>
      <c r="QB3" t="s">
        <v>22</v>
      </c>
      <c r="QC3" t="s">
        <v>22</v>
      </c>
      <c r="QE3" t="s">
        <v>843</v>
      </c>
      <c r="QF3" t="s">
        <v>842</v>
      </c>
      <c r="QG3" t="s">
        <v>1103</v>
      </c>
      <c r="QH3" t="s">
        <v>26</v>
      </c>
      <c r="QI3" t="s">
        <v>22</v>
      </c>
      <c r="QJ3" t="s">
        <v>28</v>
      </c>
      <c r="QK3" t="s">
        <v>28</v>
      </c>
      <c r="QL3" t="s">
        <v>1416</v>
      </c>
      <c r="QM3" t="s">
        <v>1416</v>
      </c>
      <c r="RB3" t="s">
        <v>1175</v>
      </c>
      <c r="RC3" t="s">
        <v>1178</v>
      </c>
      <c r="RD3" t="s">
        <v>1178</v>
      </c>
      <c r="RF3" t="s">
        <v>1178</v>
      </c>
      <c r="RG3" t="s">
        <v>1178</v>
      </c>
      <c r="RI3" t="s">
        <v>1178</v>
      </c>
      <c r="RJ3" t="s">
        <v>1178</v>
      </c>
      <c r="RL3" t="s">
        <v>1178</v>
      </c>
      <c r="RM3" t="s">
        <v>1178</v>
      </c>
      <c r="RN3" t="s">
        <v>1178</v>
      </c>
      <c r="RU3" t="s">
        <v>1213</v>
      </c>
      <c r="RV3" t="str">
        <f t="shared" ref="RV3:RV13" si="2">$RB$1</f>
        <v>CellularBlindProduct</v>
      </c>
      <c r="RW3" t="s">
        <v>28</v>
      </c>
      <c r="RX3" s="237">
        <v>1</v>
      </c>
      <c r="SE3" s="436" t="s">
        <v>1218</v>
      </c>
      <c r="SF3" s="436" t="s">
        <v>1218</v>
      </c>
      <c r="SG3" s="436" t="s">
        <v>1989</v>
      </c>
      <c r="SH3" s="436" t="s">
        <v>1219</v>
      </c>
      <c r="SI3" s="436" t="s">
        <v>1989</v>
      </c>
      <c r="SJ3" s="436" t="s">
        <v>1989</v>
      </c>
      <c r="SK3" s="436" t="s">
        <v>1990</v>
      </c>
      <c r="SL3" s="436" t="s">
        <v>1221</v>
      </c>
      <c r="SM3" s="436" t="s">
        <v>1219</v>
      </c>
      <c r="SN3" s="436" t="s">
        <v>1221</v>
      </c>
      <c r="SO3" s="436" t="s">
        <v>1221</v>
      </c>
      <c r="SP3" s="436" t="s">
        <v>1221</v>
      </c>
      <c r="SQ3" s="436" t="s">
        <v>1221</v>
      </c>
      <c r="SR3" s="436" t="s">
        <v>1162</v>
      </c>
      <c r="SS3" t="s">
        <v>1218</v>
      </c>
      <c r="ST3" t="s">
        <v>1162</v>
      </c>
      <c r="TB3" s="207" t="s">
        <v>1175</v>
      </c>
      <c r="TC3" s="199" t="str">
        <f>SG1</f>
        <v xml:space="preserve"> 38mm Single Cellular Blind Blockout Standard</v>
      </c>
      <c r="TD3" s="199" t="str">
        <f>SE86</f>
        <v xml:space="preserve"> 38mm Single Cell Blockout Bamboo Print</v>
      </c>
      <c r="TE3" s="199" t="str">
        <f>SI79</f>
        <v xml:space="preserve"> 38mm Single Cell Translucent Bamboo Print</v>
      </c>
      <c r="TF3" s="199" t="str">
        <f>$SF$75</f>
        <v xml:space="preserve"> 38mm Single Cell Translucent Crepe Woven</v>
      </c>
      <c r="TG3" s="199" t="str">
        <f>SG87</f>
        <v xml:space="preserve"> 38mm Single Cell Translucent Sheer A</v>
      </c>
      <c r="TH3" s="199" t="str">
        <f>SJ79</f>
        <v xml:space="preserve"> 38mm Single Cell Translucent Slub Woven</v>
      </c>
      <c r="TI3" s="199" t="s">
        <v>332</v>
      </c>
      <c r="TJ3" s="199" t="s">
        <v>332</v>
      </c>
      <c r="TK3" s="199" t="s">
        <v>332</v>
      </c>
      <c r="TL3" s="199" t="s">
        <v>332</v>
      </c>
      <c r="TM3" s="199" t="str">
        <f>SE1</f>
        <v xml:space="preserve"> 38mm Single Cellular Blind Translucent Standard</v>
      </c>
      <c r="TN3" s="199" t="str">
        <f>SR1</f>
        <v xml:space="preserve"> 38mm Single Cellular Blind Translucent Crush</v>
      </c>
      <c r="TO3" s="199" t="str">
        <f>SM1</f>
        <v xml:space="preserve"> 38mm Single Cellular Blind Translucent Linen</v>
      </c>
      <c r="TP3" s="199" t="str">
        <f>SO1</f>
        <v xml:space="preserve"> 38mm Single Cellular Blind Translucent Paisley</v>
      </c>
      <c r="TQ3" s="199" t="str">
        <f>SI1</f>
        <v xml:space="preserve"> 38mm Single Cellular Blind Translucent Sheer</v>
      </c>
      <c r="TR3" s="199" t="s">
        <v>332</v>
      </c>
      <c r="TS3" s="199" t="s">
        <v>332</v>
      </c>
      <c r="TT3" s="199" t="s">
        <v>332</v>
      </c>
      <c r="TU3" s="199" t="s">
        <v>332</v>
      </c>
      <c r="TV3" s="199" t="s">
        <v>332</v>
      </c>
      <c r="TW3" s="199" t="s">
        <v>332</v>
      </c>
      <c r="TX3" s="199" t="s">
        <v>332</v>
      </c>
      <c r="TY3" s="199" t="str">
        <f>SN1</f>
        <v xml:space="preserve"> 38mm Single Cellular Blind Translucent Thatched</v>
      </c>
      <c r="TZ3" s="199" t="str">
        <f>SK1</f>
        <v xml:space="preserve"> 38mm Single Cellular Blind Translucent Woven</v>
      </c>
      <c r="UA3" s="435" t="str">
        <f>$SG$146</f>
        <v xml:space="preserve"> 38mm Single Cellular Blind Day Night Blockout Colours</v>
      </c>
      <c r="UB3" s="206" t="str">
        <f>$XG$1</f>
        <v>Cellular Colour 2 38mm Single Cellular Blind</v>
      </c>
      <c r="UC3" s="436" t="s">
        <v>1272</v>
      </c>
      <c r="UD3" s="436" t="s">
        <v>1272</v>
      </c>
      <c r="UE3" s="436" t="s">
        <v>2028</v>
      </c>
      <c r="UF3" s="436" t="s">
        <v>2028</v>
      </c>
      <c r="UG3" s="35" t="s">
        <v>2019</v>
      </c>
      <c r="UH3" s="204" t="s">
        <v>1308</v>
      </c>
      <c r="UI3" s="35" t="s">
        <v>1313</v>
      </c>
      <c r="UJ3" s="35" t="s">
        <v>1318</v>
      </c>
      <c r="UK3" s="35" t="s">
        <v>1323</v>
      </c>
      <c r="UL3" s="204" t="s">
        <v>1318</v>
      </c>
      <c r="UM3" s="204" t="s">
        <v>1323</v>
      </c>
      <c r="UN3" s="35" t="s">
        <v>1292</v>
      </c>
      <c r="UO3" s="241" t="s">
        <v>1272</v>
      </c>
      <c r="US3" t="s">
        <v>1298</v>
      </c>
      <c r="UT3" t="s">
        <v>1213</v>
      </c>
      <c r="VD3" s="35" t="s">
        <v>1452</v>
      </c>
      <c r="VE3" t="s">
        <v>1450</v>
      </c>
      <c r="VL3" s="245" t="s">
        <v>1213</v>
      </c>
      <c r="VM3" s="245" t="str">
        <f>VT1</f>
        <v>Corded Day Night 25mm Single</v>
      </c>
      <c r="VN3" s="245" t="str">
        <f>WE1</f>
        <v>Corded Day Night 38mm Single</v>
      </c>
      <c r="VO3" s="245" t="str">
        <f>WE47</f>
        <v>Corded Day Night 45mm Single</v>
      </c>
      <c r="VP3" s="245" t="str">
        <f>WE83</f>
        <v>Corded Day Night 45mm Single Cell In A Cell</v>
      </c>
      <c r="VQ3" s="245" t="str">
        <f>WP1</f>
        <v>Corded Day Night 38mm Double</v>
      </c>
      <c r="VR3" t="s">
        <v>1178</v>
      </c>
      <c r="VS3" s="204" t="s">
        <v>1178</v>
      </c>
      <c r="VT3" t="s">
        <v>1440</v>
      </c>
      <c r="VU3" s="204" t="s">
        <v>1178</v>
      </c>
      <c r="VV3" t="s">
        <v>1178</v>
      </c>
      <c r="VW3" t="s">
        <v>1440</v>
      </c>
      <c r="VX3" t="s">
        <v>1178</v>
      </c>
      <c r="VY3" t="s">
        <v>1178</v>
      </c>
      <c r="VZ3" t="s">
        <v>1440</v>
      </c>
      <c r="WA3" t="s">
        <v>1178</v>
      </c>
      <c r="WB3" t="s">
        <v>1178</v>
      </c>
      <c r="WC3" t="s">
        <v>1178</v>
      </c>
      <c r="WD3" s="178" t="s">
        <v>1853</v>
      </c>
      <c r="WE3" t="s">
        <v>1440</v>
      </c>
      <c r="WF3" t="s">
        <v>1853</v>
      </c>
      <c r="WG3" t="s">
        <v>1853</v>
      </c>
      <c r="WH3" t="s">
        <v>1440</v>
      </c>
      <c r="WI3" t="s">
        <v>1853</v>
      </c>
      <c r="WJ3" t="s">
        <v>1853</v>
      </c>
      <c r="WK3" t="s">
        <v>1440</v>
      </c>
      <c r="WL3" t="s">
        <v>1853</v>
      </c>
      <c r="WM3" t="s">
        <v>1853</v>
      </c>
      <c r="WN3" t="s">
        <v>1853</v>
      </c>
      <c r="WO3" t="s">
        <v>1178</v>
      </c>
      <c r="WP3" t="s">
        <v>1440</v>
      </c>
      <c r="WQ3" t="s">
        <v>1178</v>
      </c>
      <c r="WR3" t="s">
        <v>1178</v>
      </c>
      <c r="WS3" t="s">
        <v>1440</v>
      </c>
      <c r="WT3" t="s">
        <v>1178</v>
      </c>
      <c r="WU3" t="s">
        <v>1178</v>
      </c>
      <c r="WV3" t="s">
        <v>1440</v>
      </c>
      <c r="WW3" t="s">
        <v>1178</v>
      </c>
      <c r="WX3" t="s">
        <v>1178</v>
      </c>
      <c r="WY3" t="s">
        <v>1178</v>
      </c>
      <c r="XF3" s="436" t="s">
        <v>1272</v>
      </c>
      <c r="XG3" s="436" t="s">
        <v>1272</v>
      </c>
      <c r="XH3" s="436" t="s">
        <v>1935</v>
      </c>
      <c r="XI3" s="241" t="s">
        <v>1272</v>
      </c>
      <c r="XJ3" t="s">
        <v>1274</v>
      </c>
      <c r="XS3" s="207" t="s">
        <v>1175</v>
      </c>
      <c r="XT3" s="248" t="str">
        <f t="shared" si="0"/>
        <v>Cellular Colour 2 NA</v>
      </c>
      <c r="XU3" s="248" t="str">
        <f t="shared" si="0"/>
        <v>Cellular Colour 2 NA</v>
      </c>
      <c r="XV3" s="248" t="str">
        <f t="shared" si="0"/>
        <v>Cellular Colour 2 NA</v>
      </c>
      <c r="XW3" s="248" t="str">
        <f t="shared" si="0"/>
        <v>Cellular Colour 2 NA</v>
      </c>
      <c r="XX3" s="248" t="str">
        <f t="shared" si="0"/>
        <v>Cellular Colour 2 NA</v>
      </c>
      <c r="XY3" s="248" t="str">
        <f t="shared" si="0"/>
        <v>Cellular Colour 2 NA</v>
      </c>
      <c r="XZ3" s="248" t="str">
        <f t="shared" si="0"/>
        <v>Cellular Colour 2 NA</v>
      </c>
      <c r="YA3" s="248" t="str">
        <f t="shared" si="1"/>
        <v>Cellular Colour 2 NA</v>
      </c>
      <c r="YB3" s="248" t="str">
        <f t="shared" si="1"/>
        <v>Cellular Colour 2 NA</v>
      </c>
      <c r="YC3" s="248" t="str">
        <f t="shared" si="1"/>
        <v>Cellular Colour 2 NA</v>
      </c>
      <c r="YD3" s="248" t="str">
        <f t="shared" si="1"/>
        <v>Cellular Colour 2 NA</v>
      </c>
      <c r="YE3" s="248" t="str">
        <f t="shared" si="1"/>
        <v>Cellular Colour 2 NA</v>
      </c>
      <c r="YF3" s="248" t="str">
        <f t="shared" si="1"/>
        <v>Cellular Colour 2 NA</v>
      </c>
      <c r="YG3" s="248" t="str">
        <f t="shared" si="1"/>
        <v>Cellular Colour 2 NA</v>
      </c>
      <c r="YH3" s="248" t="str">
        <f t="shared" si="1"/>
        <v>Cellular Colour 2 NA</v>
      </c>
      <c r="YI3" s="248" t="str">
        <f t="shared" si="1"/>
        <v>Cellular Colour 2 NA</v>
      </c>
      <c r="YJ3" s="248" t="str">
        <f t="shared" si="1"/>
        <v>Cellular Colour 2 NA</v>
      </c>
      <c r="YK3" s="248" t="str">
        <f t="shared" si="1"/>
        <v>Cellular Colour 2 NA</v>
      </c>
      <c r="YL3" s="248" t="str">
        <f t="shared" si="1"/>
        <v>Cellular Colour 2 NA</v>
      </c>
      <c r="YM3" s="248" t="str">
        <f t="shared" si="1"/>
        <v>Cellular Colour 2 NA</v>
      </c>
      <c r="YN3" s="248" t="str">
        <f t="shared" si="1"/>
        <v>Cellular Colour 2 NA</v>
      </c>
      <c r="YO3" s="248" t="str">
        <f t="shared" si="1"/>
        <v>Cellular Colour 2 NA</v>
      </c>
      <c r="YP3" s="248" t="str">
        <f t="shared" si="1"/>
        <v>Cellular Colour 2 NA</v>
      </c>
      <c r="YQ3" s="199" t="str">
        <f>$XG$1</f>
        <v>Cellular Colour 2 38mm Single Cellular Blind</v>
      </c>
      <c r="YR3" s="199" t="str">
        <f>$SG$146</f>
        <v xml:space="preserve"> 38mm Single Cellular Blind Day Night Blockout Colours</v>
      </c>
      <c r="YU3" t="s">
        <v>1213</v>
      </c>
      <c r="YV3" s="35" t="s">
        <v>28</v>
      </c>
      <c r="YW3" s="206" t="s">
        <v>1195</v>
      </c>
      <c r="YX3" s="206" t="s">
        <v>1195</v>
      </c>
      <c r="ZB3" s="35" t="s">
        <v>28</v>
      </c>
      <c r="ZC3" s="35" t="s">
        <v>1197</v>
      </c>
      <c r="ZD3" s="35" t="s">
        <v>1197</v>
      </c>
      <c r="ZE3" s="35"/>
      <c r="ZF3" s="35"/>
      <c r="ZG3" t="s">
        <v>28</v>
      </c>
      <c r="ZI3" s="199" t="s">
        <v>1176</v>
      </c>
      <c r="ZK3" s="199" t="s">
        <v>1213</v>
      </c>
      <c r="ZL3" s="199">
        <v>5.5</v>
      </c>
      <c r="ZM3" s="199">
        <v>450</v>
      </c>
      <c r="ZN3" s="199">
        <v>3000</v>
      </c>
      <c r="ZO3" s="199">
        <v>300</v>
      </c>
      <c r="ZP3" s="199">
        <v>3600</v>
      </c>
      <c r="ZQ3" s="199" t="s">
        <v>1213</v>
      </c>
      <c r="ZR3" s="206">
        <v>4.5599999999999996</v>
      </c>
      <c r="ZS3" s="206">
        <v>450</v>
      </c>
      <c r="ZT3" s="206">
        <v>3000</v>
      </c>
      <c r="ZU3" s="199">
        <v>300</v>
      </c>
      <c r="ZV3" s="199">
        <v>2500</v>
      </c>
      <c r="ZW3" s="199" t="s">
        <v>1213</v>
      </c>
      <c r="ZX3" s="206">
        <v>4.5599999999999996</v>
      </c>
      <c r="ZY3" s="206">
        <v>450</v>
      </c>
      <c r="ZZ3" s="199">
        <v>3000</v>
      </c>
      <c r="AAA3" s="199">
        <v>300</v>
      </c>
      <c r="AAB3" s="199">
        <v>2500</v>
      </c>
      <c r="AAC3" s="353" t="s">
        <v>1213</v>
      </c>
      <c r="AAD3" s="353">
        <v>5.5</v>
      </c>
      <c r="AAE3" s="353">
        <v>450</v>
      </c>
      <c r="AAF3" s="353">
        <v>3000</v>
      </c>
      <c r="AAG3" s="353">
        <v>300</v>
      </c>
      <c r="AAH3" s="199">
        <v>3600</v>
      </c>
      <c r="AAK3" t="s">
        <v>1131</v>
      </c>
      <c r="AAL3" t="str">
        <f>$CS$17</f>
        <v>Oval Bottom Rail 2</v>
      </c>
      <c r="AAM3" t="str">
        <f t="shared" ref="AAM3:AAM15" si="3">$CT$2</f>
        <v>Sewn In Pocket</v>
      </c>
      <c r="ABB3" t="s">
        <v>1131</v>
      </c>
      <c r="ABC3">
        <v>3</v>
      </c>
      <c r="ABD3" t="s">
        <v>408</v>
      </c>
      <c r="ABL3">
        <v>3</v>
      </c>
      <c r="ABM3" t="s">
        <v>1482</v>
      </c>
      <c r="ABN3" t="s">
        <v>1515</v>
      </c>
      <c r="ABO3" t="s">
        <v>1516</v>
      </c>
      <c r="ABP3" t="s">
        <v>1517</v>
      </c>
      <c r="ABQ3" t="s">
        <v>1518</v>
      </c>
      <c r="ABR3" t="s">
        <v>1519</v>
      </c>
      <c r="ABW3">
        <v>3</v>
      </c>
      <c r="ABX3">
        <v>1200</v>
      </c>
      <c r="ABY3">
        <v>3000</v>
      </c>
    </row>
    <row r="4" spans="1:753" ht="15">
      <c r="A4" t="s">
        <v>51</v>
      </c>
      <c r="B4">
        <v>38</v>
      </c>
      <c r="C4" t="s">
        <v>52</v>
      </c>
      <c r="D4" t="s">
        <v>53</v>
      </c>
      <c r="E4" t="s">
        <v>54</v>
      </c>
      <c r="F4" t="s">
        <v>55</v>
      </c>
      <c r="G4" t="s">
        <v>56</v>
      </c>
      <c r="H4" t="s">
        <v>57</v>
      </c>
      <c r="I4" t="s">
        <v>38</v>
      </c>
      <c r="J4">
        <v>8000</v>
      </c>
      <c r="K4" t="s">
        <v>58</v>
      </c>
      <c r="L4" t="s">
        <v>30</v>
      </c>
      <c r="M4">
        <v>801</v>
      </c>
      <c r="N4" t="s">
        <v>5</v>
      </c>
      <c r="O4">
        <v>217050</v>
      </c>
      <c r="P4" t="s">
        <v>11</v>
      </c>
      <c r="Q4">
        <v>2238</v>
      </c>
      <c r="R4" t="s">
        <v>50</v>
      </c>
      <c r="S4" t="s">
        <v>21</v>
      </c>
      <c r="T4">
        <v>2130</v>
      </c>
      <c r="V4" s="2"/>
      <c r="W4" t="s">
        <v>213</v>
      </c>
      <c r="Y4" t="s">
        <v>366</v>
      </c>
      <c r="Z4" t="s">
        <v>241</v>
      </c>
      <c r="AA4" s="35" t="s">
        <v>437</v>
      </c>
      <c r="AB4" t="s">
        <v>1143</v>
      </c>
      <c r="AD4" t="s">
        <v>219</v>
      </c>
      <c r="AF4" t="s">
        <v>336</v>
      </c>
      <c r="AH4" t="s">
        <v>344</v>
      </c>
      <c r="AI4" t="s">
        <v>226</v>
      </c>
      <c r="AJ4" t="s">
        <v>232</v>
      </c>
      <c r="AL4" t="s">
        <v>275</v>
      </c>
      <c r="AN4" t="s">
        <v>254</v>
      </c>
      <c r="AP4" t="s">
        <v>2289</v>
      </c>
      <c r="AR4" s="35" t="s">
        <v>2294</v>
      </c>
      <c r="AW4" s="36"/>
      <c r="BA4" t="s">
        <v>2051</v>
      </c>
      <c r="BC4" t="s">
        <v>872</v>
      </c>
      <c r="BD4" t="s">
        <v>563</v>
      </c>
      <c r="BE4" t="s">
        <v>550</v>
      </c>
      <c r="BF4" s="327" t="s">
        <v>550</v>
      </c>
      <c r="BG4" s="327" t="s">
        <v>550</v>
      </c>
      <c r="BH4" s="327" t="s">
        <v>550</v>
      </c>
      <c r="BI4" t="s">
        <v>301</v>
      </c>
      <c r="BK4" t="s">
        <v>307</v>
      </c>
      <c r="BM4" t="s">
        <v>328</v>
      </c>
      <c r="BT4" t="s">
        <v>22</v>
      </c>
      <c r="BW4" t="s">
        <v>350</v>
      </c>
      <c r="BY4" t="s">
        <v>361</v>
      </c>
      <c r="CA4" t="s">
        <v>358</v>
      </c>
      <c r="CE4" t="s">
        <v>373</v>
      </c>
      <c r="CG4" t="s">
        <v>405</v>
      </c>
      <c r="CH4" t="s">
        <v>405</v>
      </c>
      <c r="CJ4" t="s">
        <v>69</v>
      </c>
      <c r="CN4" t="s">
        <v>350</v>
      </c>
      <c r="CO4" t="s">
        <v>350</v>
      </c>
      <c r="CQ4" t="s">
        <v>22</v>
      </c>
      <c r="CS4" t="s">
        <v>407</v>
      </c>
      <c r="CU4" t="s">
        <v>409</v>
      </c>
      <c r="CX4" t="s">
        <v>350</v>
      </c>
      <c r="CY4" t="s">
        <v>350</v>
      </c>
      <c r="DA4" t="s">
        <v>422</v>
      </c>
      <c r="DB4">
        <v>1</v>
      </c>
      <c r="DD4" t="s">
        <v>69</v>
      </c>
      <c r="DG4" t="s">
        <v>447</v>
      </c>
      <c r="DI4" t="s">
        <v>544</v>
      </c>
      <c r="DJ4" t="s">
        <v>437</v>
      </c>
      <c r="DK4" t="s">
        <v>437</v>
      </c>
      <c r="DL4" t="s">
        <v>409</v>
      </c>
      <c r="DN4" s="106"/>
      <c r="DO4" s="199" t="s">
        <v>421</v>
      </c>
      <c r="DP4" s="199">
        <v>1</v>
      </c>
      <c r="DQ4" s="199">
        <f>LEN(DO4)-LEN(SUBSTITUTE(DO4,"T",""))</f>
        <v>0</v>
      </c>
      <c r="DR4" s="187" t="s">
        <v>22</v>
      </c>
      <c r="DS4" s="187" t="s">
        <v>22</v>
      </c>
      <c r="DT4" s="187" t="s">
        <v>392</v>
      </c>
      <c r="DU4" s="187" t="s">
        <v>391</v>
      </c>
      <c r="DV4" s="187" t="s">
        <v>22</v>
      </c>
      <c r="DW4" s="187" t="s">
        <v>69</v>
      </c>
      <c r="DX4" s="187" t="s">
        <v>332</v>
      </c>
      <c r="DY4" s="187" t="s">
        <v>22</v>
      </c>
      <c r="DZ4" s="187" t="s">
        <v>22</v>
      </c>
      <c r="EA4" s="187" t="s">
        <v>22</v>
      </c>
      <c r="EB4" s="187" t="s">
        <v>22</v>
      </c>
      <c r="EC4" s="187" t="s">
        <v>22</v>
      </c>
      <c r="ED4" s="187" t="s">
        <v>69</v>
      </c>
      <c r="EE4" s="187" t="s">
        <v>332</v>
      </c>
      <c r="EG4" t="s">
        <v>22</v>
      </c>
      <c r="EJ4" t="s">
        <v>586</v>
      </c>
      <c r="EK4" t="s">
        <v>22</v>
      </c>
      <c r="EL4" t="s">
        <v>655</v>
      </c>
      <c r="EM4" t="s">
        <v>598</v>
      </c>
      <c r="EN4" t="s">
        <v>598</v>
      </c>
      <c r="EO4" t="s">
        <v>598</v>
      </c>
      <c r="ER4" t="s">
        <v>69</v>
      </c>
      <c r="EU4" t="s">
        <v>873</v>
      </c>
      <c r="EW4" t="s">
        <v>609</v>
      </c>
      <c r="EX4" t="s">
        <v>609</v>
      </c>
      <c r="FA4" s="210" t="s">
        <v>554</v>
      </c>
      <c r="FB4" s="210" t="s">
        <v>615</v>
      </c>
      <c r="FC4" t="s">
        <v>316</v>
      </c>
      <c r="FD4" t="s">
        <v>22</v>
      </c>
      <c r="FF4" t="s">
        <v>620</v>
      </c>
      <c r="FG4" t="s">
        <v>316</v>
      </c>
      <c r="FH4" t="s">
        <v>316</v>
      </c>
      <c r="FJ4" t="s">
        <v>316</v>
      </c>
      <c r="FK4" t="s">
        <v>316</v>
      </c>
      <c r="FM4" t="s">
        <v>314</v>
      </c>
      <c r="FP4" t="s">
        <v>667</v>
      </c>
      <c r="HA4" t="s">
        <v>609</v>
      </c>
      <c r="HB4" t="s">
        <v>609</v>
      </c>
      <c r="HC4" t="s">
        <v>609</v>
      </c>
      <c r="HD4" t="s">
        <v>609</v>
      </c>
      <c r="HE4" t="s">
        <v>609</v>
      </c>
      <c r="HF4" t="s">
        <v>609</v>
      </c>
      <c r="HG4" t="s">
        <v>609</v>
      </c>
      <c r="HH4" t="s">
        <v>609</v>
      </c>
      <c r="HI4" t="s">
        <v>609</v>
      </c>
      <c r="HJ4" t="s">
        <v>609</v>
      </c>
      <c r="HK4" t="s">
        <v>609</v>
      </c>
      <c r="HL4" t="s">
        <v>609</v>
      </c>
      <c r="HM4" t="s">
        <v>609</v>
      </c>
      <c r="HN4" t="s">
        <v>609</v>
      </c>
      <c r="HO4" t="s">
        <v>609</v>
      </c>
      <c r="HP4" t="s">
        <v>609</v>
      </c>
      <c r="HQ4" t="s">
        <v>609</v>
      </c>
      <c r="HR4" t="s">
        <v>609</v>
      </c>
      <c r="HX4" t="s">
        <v>756</v>
      </c>
      <c r="ID4" t="s">
        <v>327</v>
      </c>
      <c r="IF4" t="s">
        <v>322</v>
      </c>
      <c r="IG4" t="s">
        <v>322</v>
      </c>
      <c r="IH4" t="s">
        <v>322</v>
      </c>
      <c r="II4" t="s">
        <v>322</v>
      </c>
      <c r="IL4" t="s">
        <v>328</v>
      </c>
      <c r="IM4" t="s">
        <v>322</v>
      </c>
      <c r="IN4" t="s">
        <v>406</v>
      </c>
      <c r="IO4" t="s">
        <v>322</v>
      </c>
      <c r="IR4" t="s">
        <v>328</v>
      </c>
      <c r="IS4" t="s">
        <v>328</v>
      </c>
      <c r="IW4" t="s">
        <v>327</v>
      </c>
      <c r="IX4" s="210" t="s">
        <v>563</v>
      </c>
      <c r="IY4" t="s">
        <v>550</v>
      </c>
      <c r="JE4" t="s">
        <v>796</v>
      </c>
      <c r="JH4" t="s">
        <v>390</v>
      </c>
      <c r="JI4" t="s">
        <v>69</v>
      </c>
      <c r="JJ4" t="s">
        <v>69</v>
      </c>
      <c r="JK4" t="s">
        <v>69</v>
      </c>
      <c r="JL4" t="s">
        <v>69</v>
      </c>
      <c r="JM4" t="s">
        <v>69</v>
      </c>
      <c r="JN4" t="s">
        <v>69</v>
      </c>
      <c r="JO4" t="s">
        <v>69</v>
      </c>
      <c r="JP4" t="s">
        <v>69</v>
      </c>
      <c r="JQ4" t="s">
        <v>69</v>
      </c>
      <c r="JR4" t="s">
        <v>69</v>
      </c>
      <c r="JS4" t="s">
        <v>390</v>
      </c>
      <c r="JT4" t="s">
        <v>69</v>
      </c>
      <c r="JU4" t="s">
        <v>69</v>
      </c>
      <c r="JV4" t="s">
        <v>69</v>
      </c>
      <c r="JW4" t="s">
        <v>69</v>
      </c>
      <c r="JY4" s="241" t="s">
        <v>69</v>
      </c>
      <c r="KB4" s="210" t="s">
        <v>553</v>
      </c>
      <c r="KC4" s="210" t="s">
        <v>563</v>
      </c>
      <c r="KD4" t="s">
        <v>550</v>
      </c>
      <c r="KF4" t="s">
        <v>233</v>
      </c>
      <c r="KG4" t="s">
        <v>656</v>
      </c>
      <c r="KK4" t="s">
        <v>843</v>
      </c>
      <c r="KQ4" t="s">
        <v>854</v>
      </c>
      <c r="KV4" t="s">
        <v>336</v>
      </c>
      <c r="LJ4" t="s">
        <v>420</v>
      </c>
      <c r="LK4">
        <v>0</v>
      </c>
      <c r="LR4" t="s">
        <v>342</v>
      </c>
      <c r="LW4" s="192" t="s">
        <v>303</v>
      </c>
      <c r="LX4" s="186" t="s">
        <v>528</v>
      </c>
      <c r="LY4" s="186" t="s">
        <v>484</v>
      </c>
      <c r="LZ4" s="186" t="s">
        <v>464</v>
      </c>
      <c r="MA4" s="186" t="s">
        <v>486</v>
      </c>
      <c r="MB4" s="186"/>
      <c r="MD4" s="202" t="s">
        <v>887</v>
      </c>
      <c r="ME4" s="187" t="s">
        <v>304</v>
      </c>
      <c r="MF4" s="187" t="s">
        <v>300</v>
      </c>
      <c r="MI4" t="s">
        <v>319</v>
      </c>
      <c r="MJ4" s="187" t="s">
        <v>22</v>
      </c>
      <c r="MK4" t="s">
        <v>300</v>
      </c>
      <c r="ML4" t="s">
        <v>22</v>
      </c>
      <c r="MN4" t="s">
        <v>2286</v>
      </c>
      <c r="MP4" t="s">
        <v>994</v>
      </c>
      <c r="MQ4" t="s">
        <v>995</v>
      </c>
      <c r="MR4" t="s">
        <v>23</v>
      </c>
      <c r="MS4" t="s">
        <v>996</v>
      </c>
      <c r="MU4" t="s">
        <v>406</v>
      </c>
      <c r="MX4" t="s">
        <v>1003</v>
      </c>
      <c r="MY4">
        <v>2</v>
      </c>
      <c r="NN4" t="s">
        <v>307</v>
      </c>
      <c r="NO4" s="232" t="s">
        <v>390</v>
      </c>
      <c r="NP4" s="232" t="s">
        <v>69</v>
      </c>
      <c r="NQ4" s="232" t="s">
        <v>69</v>
      </c>
      <c r="NR4" s="232" t="s">
        <v>69</v>
      </c>
      <c r="NS4" s="232" t="s">
        <v>69</v>
      </c>
      <c r="NT4" s="232" t="s">
        <v>69</v>
      </c>
      <c r="NU4" s="232" t="s">
        <v>69</v>
      </c>
      <c r="NV4" s="232" t="s">
        <v>69</v>
      </c>
      <c r="NW4" s="232" t="s">
        <v>69</v>
      </c>
      <c r="NX4" s="232" t="s">
        <v>69</v>
      </c>
      <c r="NY4" s="232" t="s">
        <v>69</v>
      </c>
      <c r="NZ4" s="232"/>
      <c r="OA4" s="232"/>
      <c r="OB4" s="232"/>
      <c r="OC4" s="232"/>
      <c r="OD4" s="232"/>
      <c r="OE4" s="232"/>
      <c r="OF4" t="s">
        <v>390</v>
      </c>
      <c r="OG4" s="241" t="s">
        <v>69</v>
      </c>
      <c r="OL4" t="s">
        <v>361</v>
      </c>
      <c r="PB4" t="s">
        <v>1104</v>
      </c>
      <c r="PC4" t="s">
        <v>1105</v>
      </c>
      <c r="PD4" t="s">
        <v>1105</v>
      </c>
      <c r="PE4" t="s">
        <v>1106</v>
      </c>
      <c r="PG4" t="s">
        <v>1107</v>
      </c>
      <c r="PH4" t="s">
        <v>1108</v>
      </c>
      <c r="PI4" t="s">
        <v>1109</v>
      </c>
      <c r="PJ4" t="s">
        <v>1109</v>
      </c>
      <c r="PL4" t="s">
        <v>1110</v>
      </c>
      <c r="PU4" t="s">
        <v>1454</v>
      </c>
      <c r="PX4" t="s">
        <v>69</v>
      </c>
      <c r="PY4" t="s">
        <v>322</v>
      </c>
      <c r="PZ4" t="s">
        <v>322</v>
      </c>
      <c r="QF4" t="s">
        <v>843</v>
      </c>
      <c r="QG4" t="s">
        <v>1162</v>
      </c>
      <c r="QH4" t="s">
        <v>69</v>
      </c>
      <c r="QI4" t="s">
        <v>69</v>
      </c>
      <c r="QK4" t="s">
        <v>1465</v>
      </c>
      <c r="QL4" t="s">
        <v>1417</v>
      </c>
      <c r="QM4" t="s">
        <v>1417</v>
      </c>
      <c r="RB4" t="s">
        <v>1852</v>
      </c>
      <c r="RC4" t="s">
        <v>1185</v>
      </c>
      <c r="RD4" t="s">
        <v>1185</v>
      </c>
      <c r="RF4" t="s">
        <v>1185</v>
      </c>
      <c r="RG4" t="s">
        <v>1185</v>
      </c>
      <c r="RI4" t="s">
        <v>1185</v>
      </c>
      <c r="RJ4" t="s">
        <v>1185</v>
      </c>
      <c r="RL4" t="s">
        <v>1185</v>
      </c>
      <c r="RM4" t="s">
        <v>1185</v>
      </c>
      <c r="RN4" t="s">
        <v>1185</v>
      </c>
      <c r="RU4" t="s">
        <v>1207</v>
      </c>
      <c r="RV4" t="str">
        <f t="shared" si="2"/>
        <v>CellularBlindProduct</v>
      </c>
      <c r="RW4" s="35" t="s">
        <v>25</v>
      </c>
      <c r="RX4" s="237">
        <v>2</v>
      </c>
      <c r="SE4" s="436" t="s">
        <v>1989</v>
      </c>
      <c r="SF4" s="436" t="s">
        <v>1219</v>
      </c>
      <c r="SG4" s="436" t="s">
        <v>1999</v>
      </c>
      <c r="SH4" s="436" t="s">
        <v>377</v>
      </c>
      <c r="SI4" s="436" t="s">
        <v>1219</v>
      </c>
      <c r="SJ4" s="436" t="s">
        <v>1219</v>
      </c>
      <c r="SK4" s="436" t="s">
        <v>1219</v>
      </c>
      <c r="SL4" s="436" t="s">
        <v>1162</v>
      </c>
      <c r="SM4" s="436" t="s">
        <v>1221</v>
      </c>
      <c r="SN4" s="436" t="s">
        <v>1222</v>
      </c>
      <c r="SO4" s="436" t="s">
        <v>1222</v>
      </c>
      <c r="SP4" s="436" t="s">
        <v>1222</v>
      </c>
      <c r="SQ4" s="436" t="s">
        <v>1222</v>
      </c>
      <c r="SR4" s="436" t="s">
        <v>1222</v>
      </c>
      <c r="SS4" t="s">
        <v>1219</v>
      </c>
      <c r="ST4" t="s">
        <v>1223</v>
      </c>
      <c r="TB4" s="207" t="s">
        <v>1852</v>
      </c>
      <c r="TC4" s="199" t="str">
        <f>SE111</f>
        <v xml:space="preserve"> 45mm Single Cell Blockout Standard</v>
      </c>
      <c r="TD4" s="199" t="s">
        <v>332</v>
      </c>
      <c r="TE4" s="199" t="s">
        <v>332</v>
      </c>
      <c r="TF4" s="199" t="str">
        <f>$SH$214</f>
        <v xml:space="preserve"> 45mm Single Cell Translucent Crepe Woven</v>
      </c>
      <c r="TG4" s="199" t="s">
        <v>332</v>
      </c>
      <c r="TH4" s="199" t="s">
        <v>332</v>
      </c>
      <c r="TI4" s="199" t="str">
        <f>SG112</f>
        <v xml:space="preserve"> 45mm Single Cell Translucent Lux_Linen</v>
      </c>
      <c r="TJ4" s="199" t="str">
        <f>SH100</f>
        <v xml:space="preserve"> 45mm Single Cell Translucent Marble</v>
      </c>
      <c r="TK4" s="199" t="str">
        <f>SI104</f>
        <v xml:space="preserve"> 45mm Single Cell Translucent Sala</v>
      </c>
      <c r="TL4" s="199" t="str">
        <f>SK104</f>
        <v xml:space="preserve"> 45mm Single Cell Translucent Woodgrain</v>
      </c>
      <c r="TM4" s="199" t="str">
        <f>SF108</f>
        <v xml:space="preserve"> 45mm Single Cell Translucent Standard</v>
      </c>
      <c r="TN4" s="199" t="s">
        <v>332</v>
      </c>
      <c r="TO4" s="199" t="s">
        <v>332</v>
      </c>
      <c r="TP4" s="199" t="s">
        <v>332</v>
      </c>
      <c r="TQ4" s="199" t="str">
        <f>SJ104</f>
        <v xml:space="preserve"> 45mm Single Cell Translucent Sheer</v>
      </c>
      <c r="TR4" s="199" t="str">
        <f>SF214</f>
        <v xml:space="preserve"> 45mm Single Cell Blockout Marble</v>
      </c>
      <c r="TS4" s="199" t="str">
        <f>SE214</f>
        <v xml:space="preserve"> 45mm Single Cell Blockout Sala</v>
      </c>
      <c r="TT4" s="199" t="str">
        <f>SG214</f>
        <v xml:space="preserve"> 45mm Single Cell Blockout Woodgrain</v>
      </c>
      <c r="TU4" s="199" t="str">
        <f>SJ214</f>
        <v xml:space="preserve"> 45mm Single Cell Blockout Woodgrain Linen</v>
      </c>
      <c r="TV4" s="199" t="str">
        <f>$SH$214</f>
        <v xml:space="preserve"> 45mm Single Cell Translucent Crepe Woven</v>
      </c>
      <c r="TW4" s="199" t="str">
        <f>SK214</f>
        <v xml:space="preserve"> 45mm Single Cell Blockout Lux_Linen</v>
      </c>
      <c r="TX4" s="199" t="str">
        <f>SI214</f>
        <v xml:space="preserve"> 45mm Single Cell Translucent Woodgrain Linen</v>
      </c>
      <c r="TY4" s="199" t="s">
        <v>332</v>
      </c>
      <c r="TZ4" s="199" t="s">
        <v>332</v>
      </c>
      <c r="UA4" s="434" t="str">
        <f>$SE$146</f>
        <v xml:space="preserve"> 45mm Single Cellular Blind Day Night Blockout Colours</v>
      </c>
      <c r="UB4" s="206" t="str">
        <f>XH1</f>
        <v>Cellular Colour 2 45mm Single Cellular Blind</v>
      </c>
      <c r="UC4" s="436" t="s">
        <v>2005</v>
      </c>
      <c r="UD4" s="436" t="s">
        <v>1273</v>
      </c>
      <c r="UE4" s="436" t="s">
        <v>2029</v>
      </c>
      <c r="UF4" s="436" t="s">
        <v>2029</v>
      </c>
      <c r="UG4" s="35" t="s">
        <v>1307</v>
      </c>
      <c r="UH4" s="204" t="s">
        <v>1309</v>
      </c>
      <c r="UI4" s="35" t="s">
        <v>1314</v>
      </c>
      <c r="UJ4" s="35" t="s">
        <v>1319</v>
      </c>
      <c r="UK4" s="35" t="s">
        <v>1324</v>
      </c>
      <c r="UL4" s="204" t="s">
        <v>1319</v>
      </c>
      <c r="UM4" s="204" t="s">
        <v>1324</v>
      </c>
      <c r="UN4" s="35" t="s">
        <v>1293</v>
      </c>
      <c r="UO4" s="241" t="s">
        <v>1273</v>
      </c>
      <c r="US4" t="s">
        <v>1132</v>
      </c>
      <c r="UT4" t="s">
        <v>1207</v>
      </c>
      <c r="VD4" s="35" t="s">
        <v>1812</v>
      </c>
      <c r="VL4" s="245" t="s">
        <v>1207</v>
      </c>
      <c r="VM4" s="245" t="str">
        <f>VU1</f>
        <v>Corded Top Down Bottom Up 25mm Single</v>
      </c>
      <c r="VN4" s="245" t="str">
        <f>WF1</f>
        <v>Corded Top Down Bottom Up 38mm Single</v>
      </c>
      <c r="VO4" s="245" t="str">
        <f>WF47</f>
        <v>Corded Top Down Bottom Up 45mm Single</v>
      </c>
      <c r="VP4" s="245" t="str">
        <f>WF83</f>
        <v>Corded Top Down Bottom Up 45mm Single Cell In A Cell</v>
      </c>
      <c r="VQ4" s="245" t="str">
        <f>WQ1</f>
        <v>Corded Top Down Bottom Up 38mm Double</v>
      </c>
      <c r="VR4" t="s">
        <v>1185</v>
      </c>
      <c r="VS4" s="204" t="s">
        <v>1187</v>
      </c>
      <c r="VU4" s="204" t="s">
        <v>1187</v>
      </c>
      <c r="VV4" t="s">
        <v>1187</v>
      </c>
      <c r="VX4" t="s">
        <v>1187</v>
      </c>
      <c r="VY4" t="s">
        <v>1187</v>
      </c>
      <c r="WA4" t="s">
        <v>1187</v>
      </c>
      <c r="WB4" t="s">
        <v>1187</v>
      </c>
      <c r="WC4" t="s">
        <v>1187</v>
      </c>
      <c r="WD4" t="s">
        <v>1178</v>
      </c>
      <c r="WF4" t="s">
        <v>1178</v>
      </c>
      <c r="WG4" t="s">
        <v>1178</v>
      </c>
      <c r="WI4" t="s">
        <v>1178</v>
      </c>
      <c r="WJ4" t="s">
        <v>1178</v>
      </c>
      <c r="WL4" t="s">
        <v>1178</v>
      </c>
      <c r="WM4" t="s">
        <v>1178</v>
      </c>
      <c r="WN4" t="s">
        <v>1178</v>
      </c>
      <c r="XF4" s="436" t="s">
        <v>1273</v>
      </c>
      <c r="XG4" s="436" t="s">
        <v>2005</v>
      </c>
      <c r="XH4" s="436" t="s">
        <v>1276</v>
      </c>
      <c r="XI4" s="241" t="s">
        <v>1273</v>
      </c>
      <c r="XJ4" t="s">
        <v>2206</v>
      </c>
      <c r="XS4" s="207" t="s">
        <v>1852</v>
      </c>
      <c r="XT4" s="248" t="str">
        <f t="shared" si="0"/>
        <v>Cellular Colour 2 NA</v>
      </c>
      <c r="XU4" s="248" t="str">
        <f t="shared" si="0"/>
        <v>Cellular Colour 2 NA</v>
      </c>
      <c r="XV4" s="248" t="str">
        <f t="shared" si="0"/>
        <v>Cellular Colour 2 NA</v>
      </c>
      <c r="XW4" s="248" t="str">
        <f t="shared" si="0"/>
        <v>Cellular Colour 2 NA</v>
      </c>
      <c r="XX4" s="248" t="str">
        <f t="shared" si="0"/>
        <v>Cellular Colour 2 NA</v>
      </c>
      <c r="XY4" s="248" t="str">
        <f t="shared" si="0"/>
        <v>Cellular Colour 2 NA</v>
      </c>
      <c r="XZ4" s="248" t="str">
        <f t="shared" si="0"/>
        <v>Cellular Colour 2 NA</v>
      </c>
      <c r="YA4" s="248" t="str">
        <f t="shared" si="1"/>
        <v>Cellular Colour 2 NA</v>
      </c>
      <c r="YB4" s="248" t="str">
        <f t="shared" si="1"/>
        <v>Cellular Colour 2 NA</v>
      </c>
      <c r="YC4" s="248" t="str">
        <f t="shared" si="1"/>
        <v>Cellular Colour 2 NA</v>
      </c>
      <c r="YD4" s="248" t="str">
        <f t="shared" si="1"/>
        <v>Cellular Colour 2 NA</v>
      </c>
      <c r="YE4" s="248" t="str">
        <f t="shared" si="1"/>
        <v>Cellular Colour 2 NA</v>
      </c>
      <c r="YF4" s="248" t="str">
        <f t="shared" si="1"/>
        <v>Cellular Colour 2 NA</v>
      </c>
      <c r="YG4" s="248" t="str">
        <f t="shared" si="1"/>
        <v>Cellular Colour 2 NA</v>
      </c>
      <c r="YH4" s="248" t="str">
        <f t="shared" si="1"/>
        <v>Cellular Colour 2 NA</v>
      </c>
      <c r="YI4" s="248" t="str">
        <f t="shared" si="1"/>
        <v>Cellular Colour 2 NA</v>
      </c>
      <c r="YJ4" s="248" t="str">
        <f t="shared" si="1"/>
        <v>Cellular Colour 2 NA</v>
      </c>
      <c r="YK4" s="248" t="str">
        <f t="shared" si="1"/>
        <v>Cellular Colour 2 NA</v>
      </c>
      <c r="YL4" s="248" t="str">
        <f t="shared" si="1"/>
        <v>Cellular Colour 2 NA</v>
      </c>
      <c r="YM4" s="248" t="str">
        <f t="shared" si="1"/>
        <v>Cellular Colour 2 NA</v>
      </c>
      <c r="YN4" s="248" t="str">
        <f t="shared" si="1"/>
        <v>Cellular Colour 2 NA</v>
      </c>
      <c r="YO4" s="248" t="str">
        <f t="shared" si="1"/>
        <v>Cellular Colour 2 NA</v>
      </c>
      <c r="YP4" s="248" t="str">
        <f t="shared" si="1"/>
        <v>Cellular Colour 2 NA</v>
      </c>
      <c r="YQ4" s="199" t="str">
        <f>$XH$1</f>
        <v>Cellular Colour 2 45mm Single Cellular Blind</v>
      </c>
      <c r="YR4" s="199" t="str">
        <f>SE146</f>
        <v xml:space="preserve"> 45mm Single Cellular Blind Day Night Blockout Colours</v>
      </c>
      <c r="YU4" t="s">
        <v>1207</v>
      </c>
      <c r="YW4" s="206" t="s">
        <v>1196</v>
      </c>
      <c r="YX4" s="206" t="s">
        <v>1196</v>
      </c>
      <c r="ZI4" t="s">
        <v>1852</v>
      </c>
      <c r="ZK4" s="199" t="s">
        <v>1207</v>
      </c>
      <c r="ZL4" s="199">
        <v>10.8</v>
      </c>
      <c r="ZM4" s="199">
        <v>450</v>
      </c>
      <c r="ZN4" s="199">
        <v>3000</v>
      </c>
      <c r="ZO4" s="199">
        <v>300</v>
      </c>
      <c r="ZP4" s="199">
        <v>3600</v>
      </c>
      <c r="ZQ4" s="199" t="s">
        <v>1207</v>
      </c>
      <c r="ZR4" s="199">
        <v>7.5</v>
      </c>
      <c r="ZS4" s="199">
        <v>450</v>
      </c>
      <c r="ZT4" s="199">
        <v>3000</v>
      </c>
      <c r="ZU4" s="199">
        <v>300</v>
      </c>
      <c r="ZV4" s="199">
        <v>2500</v>
      </c>
      <c r="ZW4" s="199" t="s">
        <v>1207</v>
      </c>
      <c r="ZX4" s="199">
        <v>7.5</v>
      </c>
      <c r="ZY4" s="199">
        <v>450</v>
      </c>
      <c r="ZZ4" s="199">
        <v>3000</v>
      </c>
      <c r="AAA4" s="199">
        <v>300</v>
      </c>
      <c r="AAB4" s="199">
        <v>2500</v>
      </c>
      <c r="AAC4" s="353" t="s">
        <v>1207</v>
      </c>
      <c r="AAD4" s="353">
        <v>10.8</v>
      </c>
      <c r="AAE4" s="353">
        <v>450</v>
      </c>
      <c r="AAF4" s="353">
        <v>3000</v>
      </c>
      <c r="AAG4" s="353">
        <v>300</v>
      </c>
      <c r="AAH4" s="199">
        <v>3600</v>
      </c>
      <c r="AAK4" t="s">
        <v>1140</v>
      </c>
      <c r="AAL4" t="str">
        <f t="shared" ref="AAL4:AAL9" si="4">$CS$17</f>
        <v>Oval Bottom Rail 2</v>
      </c>
      <c r="AAM4" t="str">
        <f t="shared" si="3"/>
        <v>Sewn In Pocket</v>
      </c>
      <c r="ABB4" t="s">
        <v>1140</v>
      </c>
      <c r="ABC4">
        <v>4</v>
      </c>
      <c r="ABD4" t="s">
        <v>407</v>
      </c>
      <c r="ABL4">
        <v>4</v>
      </c>
      <c r="ABM4" t="s">
        <v>1483</v>
      </c>
      <c r="ABO4" t="s">
        <v>1525</v>
      </c>
      <c r="ABQ4" t="s">
        <v>1520</v>
      </c>
      <c r="ABW4">
        <v>4</v>
      </c>
      <c r="ABX4">
        <v>1600</v>
      </c>
      <c r="ABY4">
        <v>5500</v>
      </c>
    </row>
    <row r="5" spans="1:753" ht="15">
      <c r="L5" t="s">
        <v>137</v>
      </c>
      <c r="M5">
        <v>803</v>
      </c>
      <c r="N5" t="s">
        <v>6</v>
      </c>
      <c r="O5">
        <v>217051</v>
      </c>
      <c r="P5" t="s">
        <v>13</v>
      </c>
      <c r="Q5">
        <v>2295</v>
      </c>
      <c r="R5" t="s">
        <v>62</v>
      </c>
      <c r="S5" t="s">
        <v>21</v>
      </c>
      <c r="T5">
        <v>1979</v>
      </c>
      <c r="V5" s="1"/>
      <c r="W5" t="s">
        <v>214</v>
      </c>
      <c r="Y5" t="s">
        <v>367</v>
      </c>
      <c r="Z5" t="s">
        <v>242</v>
      </c>
      <c r="AA5" s="35" t="s">
        <v>446</v>
      </c>
      <c r="AB5" t="s">
        <v>1144</v>
      </c>
      <c r="AD5" t="s">
        <v>220</v>
      </c>
      <c r="AF5" t="s">
        <v>337</v>
      </c>
      <c r="AH5" t="s">
        <v>345</v>
      </c>
      <c r="AJ5" t="s">
        <v>233</v>
      </c>
      <c r="AL5" t="s">
        <v>270</v>
      </c>
      <c r="AN5" t="s">
        <v>255</v>
      </c>
      <c r="AP5" t="s">
        <v>2290</v>
      </c>
      <c r="AR5" s="35" t="s">
        <v>2295</v>
      </c>
      <c r="AW5" s="36"/>
      <c r="BA5" t="s">
        <v>1819</v>
      </c>
      <c r="BC5" s="327" t="s">
        <v>1774</v>
      </c>
      <c r="BD5" t="s">
        <v>1544</v>
      </c>
      <c r="BE5" t="s">
        <v>874</v>
      </c>
      <c r="BF5" s="327" t="s">
        <v>874</v>
      </c>
      <c r="BG5" s="327" t="s">
        <v>874</v>
      </c>
      <c r="BH5" s="327" t="s">
        <v>549</v>
      </c>
      <c r="BI5" t="s">
        <v>302</v>
      </c>
      <c r="BK5" t="s">
        <v>316</v>
      </c>
      <c r="BM5" t="s">
        <v>377</v>
      </c>
      <c r="BW5" t="s">
        <v>351</v>
      </c>
      <c r="CJ5" t="s">
        <v>390</v>
      </c>
      <c r="CN5" t="s">
        <v>351</v>
      </c>
      <c r="CO5" t="s">
        <v>351</v>
      </c>
      <c r="CS5" t="s">
        <v>330</v>
      </c>
      <c r="CU5" t="s">
        <v>377</v>
      </c>
      <c r="CX5" t="s">
        <v>351</v>
      </c>
      <c r="CY5" t="s">
        <v>351</v>
      </c>
      <c r="DA5" t="s">
        <v>420</v>
      </c>
      <c r="DB5">
        <v>2</v>
      </c>
      <c r="DG5" t="s">
        <v>385</v>
      </c>
      <c r="DI5" t="s">
        <v>545</v>
      </c>
      <c r="DJ5" t="s">
        <v>446</v>
      </c>
      <c r="DK5" t="s">
        <v>446</v>
      </c>
      <c r="DL5" t="s">
        <v>377</v>
      </c>
      <c r="DN5" s="106"/>
      <c r="DO5" s="199" t="s">
        <v>422</v>
      </c>
      <c r="DP5" s="199">
        <v>1</v>
      </c>
      <c r="DQ5" s="199">
        <f t="shared" ref="DQ5:DQ68" si="5">LEN(DO5)-LEN(SUBSTITUTE(DO5,"T",""))</f>
        <v>0</v>
      </c>
      <c r="DR5" s="187" t="s">
        <v>69</v>
      </c>
      <c r="DS5" s="187" t="s">
        <v>69</v>
      </c>
      <c r="DT5" s="187" t="s">
        <v>387</v>
      </c>
      <c r="DU5" s="187" t="s">
        <v>392</v>
      </c>
      <c r="DY5" s="187" t="s">
        <v>69</v>
      </c>
      <c r="DZ5" s="187" t="s">
        <v>69</v>
      </c>
      <c r="EG5" t="s">
        <v>69</v>
      </c>
      <c r="EJ5" t="s">
        <v>587</v>
      </c>
      <c r="EK5" t="s">
        <v>22</v>
      </c>
      <c r="EL5" t="s">
        <v>656</v>
      </c>
      <c r="EM5" t="s">
        <v>792</v>
      </c>
      <c r="EN5" t="s">
        <v>792</v>
      </c>
      <c r="EO5" t="s">
        <v>792</v>
      </c>
      <c r="EU5" s="327" t="s">
        <v>1774</v>
      </c>
      <c r="EW5" t="s">
        <v>583</v>
      </c>
      <c r="EX5" t="s">
        <v>583</v>
      </c>
      <c r="FA5" s="210" t="s">
        <v>555</v>
      </c>
      <c r="FB5" s="210" t="s">
        <v>69</v>
      </c>
      <c r="FC5" t="s">
        <v>308</v>
      </c>
      <c r="FD5" t="s">
        <v>22</v>
      </c>
      <c r="FF5" t="s">
        <v>621</v>
      </c>
      <c r="FG5" t="s">
        <v>308</v>
      </c>
      <c r="FH5" t="s">
        <v>308</v>
      </c>
      <c r="FJ5" t="s">
        <v>308</v>
      </c>
      <c r="FK5" t="s">
        <v>308</v>
      </c>
      <c r="FM5" t="s">
        <v>313</v>
      </c>
      <c r="FP5" t="s">
        <v>391</v>
      </c>
      <c r="HA5" t="s">
        <v>583</v>
      </c>
      <c r="HB5" t="s">
        <v>583</v>
      </c>
      <c r="HC5" t="s">
        <v>583</v>
      </c>
      <c r="HQ5" t="s">
        <v>583</v>
      </c>
      <c r="HX5" t="s">
        <v>757</v>
      </c>
      <c r="ID5" t="s">
        <v>326</v>
      </c>
      <c r="IL5" t="s">
        <v>377</v>
      </c>
      <c r="IR5" t="s">
        <v>377</v>
      </c>
      <c r="IS5" t="s">
        <v>377</v>
      </c>
      <c r="IW5" t="s">
        <v>326</v>
      </c>
      <c r="IX5" s="210" t="s">
        <v>1544</v>
      </c>
      <c r="IY5" t="s">
        <v>551</v>
      </c>
      <c r="JH5" t="s">
        <v>393</v>
      </c>
      <c r="JI5" t="s">
        <v>390</v>
      </c>
      <c r="JJ5" t="s">
        <v>390</v>
      </c>
      <c r="JK5" t="s">
        <v>390</v>
      </c>
      <c r="JL5" t="s">
        <v>390</v>
      </c>
      <c r="JM5" t="s">
        <v>390</v>
      </c>
      <c r="JN5" t="s">
        <v>390</v>
      </c>
      <c r="JO5" t="s">
        <v>390</v>
      </c>
      <c r="JP5" t="s">
        <v>390</v>
      </c>
      <c r="JQ5" t="s">
        <v>390</v>
      </c>
      <c r="JR5" t="s">
        <v>390</v>
      </c>
      <c r="JT5" t="s">
        <v>390</v>
      </c>
      <c r="JU5" t="s">
        <v>390</v>
      </c>
      <c r="JV5" t="s">
        <v>390</v>
      </c>
      <c r="JW5" t="s">
        <v>390</v>
      </c>
      <c r="JY5" s="241" t="s">
        <v>390</v>
      </c>
      <c r="KB5" s="210" t="s">
        <v>555</v>
      </c>
      <c r="KC5" s="210" t="s">
        <v>1544</v>
      </c>
      <c r="KD5" t="s">
        <v>874</v>
      </c>
      <c r="KF5" t="s">
        <v>234</v>
      </c>
      <c r="KG5" t="s">
        <v>656</v>
      </c>
      <c r="KK5" t="s">
        <v>844</v>
      </c>
      <c r="KQ5" t="s">
        <v>853</v>
      </c>
      <c r="KV5" t="s">
        <v>337</v>
      </c>
      <c r="LJ5" t="s">
        <v>504</v>
      </c>
      <c r="LK5">
        <v>1</v>
      </c>
      <c r="LR5" t="s">
        <v>343</v>
      </c>
      <c r="LW5" s="190" t="s">
        <v>302</v>
      </c>
      <c r="LX5" s="186" t="s">
        <v>479</v>
      </c>
      <c r="LY5" s="186" t="s">
        <v>923</v>
      </c>
      <c r="LZ5" s="186" t="s">
        <v>465</v>
      </c>
      <c r="MA5" s="186" t="s">
        <v>487</v>
      </c>
      <c r="MB5" s="186"/>
      <c r="ME5" s="187" t="s">
        <v>300</v>
      </c>
      <c r="MF5" s="187" t="s">
        <v>998</v>
      </c>
      <c r="MK5" t="s">
        <v>303</v>
      </c>
      <c r="ML5" t="s">
        <v>69</v>
      </c>
      <c r="MN5" t="s">
        <v>1498</v>
      </c>
      <c r="MX5" t="s">
        <v>420</v>
      </c>
      <c r="MY5">
        <v>2</v>
      </c>
      <c r="NN5" t="s">
        <v>316</v>
      </c>
      <c r="NO5" s="232" t="s">
        <v>393</v>
      </c>
      <c r="NP5" s="232" t="s">
        <v>390</v>
      </c>
      <c r="NQ5" s="232" t="s">
        <v>390</v>
      </c>
      <c r="NR5" s="232" t="s">
        <v>390</v>
      </c>
      <c r="NS5" s="232" t="s">
        <v>390</v>
      </c>
      <c r="NT5" s="232" t="s">
        <v>390</v>
      </c>
      <c r="NU5" s="232" t="s">
        <v>390</v>
      </c>
      <c r="NV5" s="232" t="s">
        <v>390</v>
      </c>
      <c r="NW5" s="232" t="s">
        <v>390</v>
      </c>
      <c r="NX5" s="232" t="s">
        <v>390</v>
      </c>
      <c r="NY5" s="232" t="s">
        <v>390</v>
      </c>
      <c r="NZ5" s="232"/>
      <c r="OA5" s="232"/>
      <c r="OB5" s="232"/>
      <c r="OC5" s="232"/>
      <c r="OD5" s="232"/>
      <c r="OE5" s="232"/>
      <c r="OF5" t="s">
        <v>393</v>
      </c>
      <c r="OG5" s="241" t="s">
        <v>390</v>
      </c>
      <c r="OL5" t="s">
        <v>359</v>
      </c>
      <c r="PB5" t="s">
        <v>1107</v>
      </c>
      <c r="PC5" t="s">
        <v>1111</v>
      </c>
      <c r="PD5" t="s">
        <v>1111</v>
      </c>
      <c r="PE5" t="s">
        <v>1112</v>
      </c>
      <c r="PG5" t="s">
        <v>1113</v>
      </c>
      <c r="PH5" t="s">
        <v>1114</v>
      </c>
      <c r="PI5" t="s">
        <v>1115</v>
      </c>
      <c r="PJ5" t="s">
        <v>1115</v>
      </c>
      <c r="PL5" t="s">
        <v>1115</v>
      </c>
      <c r="PU5" t="s">
        <v>1455</v>
      </c>
      <c r="QF5" t="s">
        <v>844</v>
      </c>
      <c r="QG5" t="s">
        <v>1165</v>
      </c>
      <c r="QK5" t="s">
        <v>1466</v>
      </c>
      <c r="QL5" t="s">
        <v>1418</v>
      </c>
      <c r="QM5" t="s">
        <v>1418</v>
      </c>
      <c r="RB5" t="s">
        <v>1176</v>
      </c>
      <c r="RC5" t="s">
        <v>1189</v>
      </c>
      <c r="RD5" t="s">
        <v>1189</v>
      </c>
      <c r="RF5" t="s">
        <v>1189</v>
      </c>
      <c r="RG5" t="s">
        <v>1189</v>
      </c>
      <c r="RI5" t="s">
        <v>1189</v>
      </c>
      <c r="RJ5" t="s">
        <v>1189</v>
      </c>
      <c r="RL5" t="s">
        <v>1189</v>
      </c>
      <c r="RM5" t="s">
        <v>1189</v>
      </c>
      <c r="RN5" t="s">
        <v>1189</v>
      </c>
      <c r="RU5" t="s">
        <v>1201</v>
      </c>
      <c r="RV5" t="str">
        <f t="shared" si="2"/>
        <v>CellularBlindProduct</v>
      </c>
      <c r="RW5" t="s">
        <v>1194</v>
      </c>
      <c r="SE5" s="436" t="s">
        <v>1990</v>
      </c>
      <c r="SF5" s="436" t="s">
        <v>1224</v>
      </c>
      <c r="SG5" s="436" t="s">
        <v>1219</v>
      </c>
      <c r="SH5" s="436" t="s">
        <v>1220</v>
      </c>
      <c r="SI5" s="436" t="s">
        <v>377</v>
      </c>
      <c r="SJ5" s="436" t="s">
        <v>377</v>
      </c>
      <c r="SK5" s="436" t="s">
        <v>1221</v>
      </c>
      <c r="SL5" s="436" t="s">
        <v>1222</v>
      </c>
      <c r="SM5" s="436" t="s">
        <v>1223</v>
      </c>
      <c r="SN5" s="436" t="s">
        <v>1225</v>
      </c>
      <c r="SO5" s="436" t="s">
        <v>1225</v>
      </c>
      <c r="SP5" s="436" t="s">
        <v>1225</v>
      </c>
      <c r="SQ5" s="436" t="s">
        <v>1225</v>
      </c>
      <c r="SR5" s="436" t="s">
        <v>1226</v>
      </c>
      <c r="SS5" t="s">
        <v>377</v>
      </c>
      <c r="TB5" s="207" t="s">
        <v>1176</v>
      </c>
      <c r="TC5" s="199" t="str">
        <f>ST1</f>
        <v xml:space="preserve"> 38mm Double Cellular Blind Blockout Standard</v>
      </c>
      <c r="TD5" s="199" t="s">
        <v>332</v>
      </c>
      <c r="TE5" s="199" t="s">
        <v>332</v>
      </c>
      <c r="TF5" s="199" t="s">
        <v>332</v>
      </c>
      <c r="TG5" s="199" t="s">
        <v>332</v>
      </c>
      <c r="TH5" s="199" t="s">
        <v>332</v>
      </c>
      <c r="TI5" s="199" t="s">
        <v>332</v>
      </c>
      <c r="TJ5" s="199" t="s">
        <v>332</v>
      </c>
      <c r="TK5" s="199" t="s">
        <v>332</v>
      </c>
      <c r="TL5" s="199" t="s">
        <v>332</v>
      </c>
      <c r="TM5" s="199" t="str">
        <f>SS1</f>
        <v xml:space="preserve"> 38mm Double Cellular Blind Translucent Standard</v>
      </c>
      <c r="TN5" s="199" t="s">
        <v>332</v>
      </c>
      <c r="TO5" s="199" t="s">
        <v>332</v>
      </c>
      <c r="TP5" s="199" t="s">
        <v>332</v>
      </c>
      <c r="TQ5" s="199" t="s">
        <v>332</v>
      </c>
      <c r="TR5" s="199" t="s">
        <v>332</v>
      </c>
      <c r="TS5" s="199" t="s">
        <v>332</v>
      </c>
      <c r="TT5" s="199" t="s">
        <v>332</v>
      </c>
      <c r="TU5" s="199" t="s">
        <v>332</v>
      </c>
      <c r="TV5" s="199" t="s">
        <v>332</v>
      </c>
      <c r="TW5" s="199" t="s">
        <v>332</v>
      </c>
      <c r="TX5" s="199" t="s">
        <v>332</v>
      </c>
      <c r="TY5" s="199" t="s">
        <v>332</v>
      </c>
      <c r="TZ5" s="199" t="s">
        <v>332</v>
      </c>
      <c r="UA5" s="199" t="str">
        <f>$ST$1</f>
        <v xml:space="preserve"> 38mm Double Cellular Blind Blockout Standard</v>
      </c>
      <c r="UB5" s="199" t="str">
        <f>$XI$1</f>
        <v>Cellular Colour 2 38mm Double Cellular Blind</v>
      </c>
      <c r="UC5" s="436" t="s">
        <v>2006</v>
      </c>
      <c r="UD5" s="436" t="s">
        <v>1327</v>
      </c>
      <c r="UE5" s="436" t="s">
        <v>2017</v>
      </c>
      <c r="UF5" s="436" t="s">
        <v>2017</v>
      </c>
      <c r="UG5" s="35" t="s">
        <v>1308</v>
      </c>
      <c r="UH5" s="204" t="s">
        <v>1310</v>
      </c>
      <c r="UI5" s="35" t="s">
        <v>1315</v>
      </c>
      <c r="UJ5" s="35" t="s">
        <v>1320</v>
      </c>
      <c r="UK5" s="35" t="s">
        <v>1325</v>
      </c>
      <c r="UL5" s="204" t="s">
        <v>1320</v>
      </c>
      <c r="UM5" s="204" t="s">
        <v>1325</v>
      </c>
      <c r="UN5" s="35" t="s">
        <v>1294</v>
      </c>
      <c r="UO5" s="241" t="s">
        <v>1274</v>
      </c>
      <c r="US5" t="s">
        <v>1133</v>
      </c>
      <c r="UT5" t="s">
        <v>1201</v>
      </c>
      <c r="VD5" s="35" t="s">
        <v>1813</v>
      </c>
      <c r="VL5" s="245" t="s">
        <v>1201</v>
      </c>
      <c r="VM5" s="245" t="str">
        <f>VV1</f>
        <v>Cordless Standard 25mm Single</v>
      </c>
      <c r="VN5" s="245" t="str">
        <f>WG1</f>
        <v>Cordless Standard 38mm Single</v>
      </c>
      <c r="VO5" s="245" t="str">
        <f>WG47</f>
        <v>Cordless Standard 45mm Single</v>
      </c>
      <c r="VP5" s="245" t="str">
        <f>WG83</f>
        <v>Cordless Standard 45mm Single Cell In A Cell</v>
      </c>
      <c r="VQ5" s="245" t="str">
        <f>WR1</f>
        <v>Cordless Standard 38mm Double</v>
      </c>
      <c r="VR5" t="s">
        <v>1189</v>
      </c>
      <c r="VS5" s="204" t="s">
        <v>1188</v>
      </c>
      <c r="VU5" s="204" t="s">
        <v>1188</v>
      </c>
      <c r="VV5" t="s">
        <v>1188</v>
      </c>
      <c r="VX5" t="s">
        <v>1188</v>
      </c>
      <c r="VY5" t="s">
        <v>1188</v>
      </c>
      <c r="WA5" t="s">
        <v>1188</v>
      </c>
      <c r="WB5" t="s">
        <v>1188</v>
      </c>
      <c r="WC5" t="s">
        <v>1188</v>
      </c>
      <c r="WD5" s="178" t="s">
        <v>1855</v>
      </c>
      <c r="WF5" t="s">
        <v>1855</v>
      </c>
      <c r="WG5" t="s">
        <v>1855</v>
      </c>
      <c r="WI5" t="s">
        <v>1855</v>
      </c>
      <c r="WJ5" t="s">
        <v>1855</v>
      </c>
      <c r="WL5" t="s">
        <v>1855</v>
      </c>
      <c r="WM5" t="s">
        <v>1855</v>
      </c>
      <c r="WN5" t="s">
        <v>1855</v>
      </c>
      <c r="XF5" s="436" t="s">
        <v>1327</v>
      </c>
      <c r="XG5" s="436" t="s">
        <v>2006</v>
      </c>
      <c r="XH5" s="436" t="s">
        <v>1936</v>
      </c>
      <c r="XI5" s="241" t="s">
        <v>1274</v>
      </c>
      <c r="XJ5" t="s">
        <v>2207</v>
      </c>
      <c r="XS5" s="207" t="s">
        <v>1176</v>
      </c>
      <c r="XT5" s="248" t="str">
        <f t="shared" si="0"/>
        <v>Cellular Colour 2 NA</v>
      </c>
      <c r="XU5" s="248" t="str">
        <f t="shared" si="0"/>
        <v>Cellular Colour 2 NA</v>
      </c>
      <c r="XV5" s="248" t="str">
        <f t="shared" si="0"/>
        <v>Cellular Colour 2 NA</v>
      </c>
      <c r="XW5" s="248" t="str">
        <f t="shared" si="0"/>
        <v>Cellular Colour 2 NA</v>
      </c>
      <c r="XX5" s="248" t="str">
        <f t="shared" si="0"/>
        <v>Cellular Colour 2 NA</v>
      </c>
      <c r="XY5" s="248" t="str">
        <f t="shared" si="0"/>
        <v>Cellular Colour 2 NA</v>
      </c>
      <c r="XZ5" s="248" t="str">
        <f t="shared" si="0"/>
        <v>Cellular Colour 2 NA</v>
      </c>
      <c r="YA5" s="248" t="str">
        <f t="shared" si="1"/>
        <v>Cellular Colour 2 NA</v>
      </c>
      <c r="YB5" s="248" t="str">
        <f t="shared" si="1"/>
        <v>Cellular Colour 2 NA</v>
      </c>
      <c r="YC5" s="248" t="str">
        <f t="shared" si="1"/>
        <v>Cellular Colour 2 NA</v>
      </c>
      <c r="YD5" s="248" t="str">
        <f t="shared" si="1"/>
        <v>Cellular Colour 2 NA</v>
      </c>
      <c r="YE5" s="248" t="str">
        <f t="shared" si="1"/>
        <v>Cellular Colour 2 NA</v>
      </c>
      <c r="YF5" s="248" t="str">
        <f t="shared" si="1"/>
        <v>Cellular Colour 2 NA</v>
      </c>
      <c r="YG5" s="248" t="str">
        <f t="shared" si="1"/>
        <v>Cellular Colour 2 NA</v>
      </c>
      <c r="YH5" s="248" t="str">
        <f t="shared" si="1"/>
        <v>Cellular Colour 2 NA</v>
      </c>
      <c r="YI5" s="248" t="str">
        <f t="shared" si="1"/>
        <v>Cellular Colour 2 NA</v>
      </c>
      <c r="YJ5" s="248" t="str">
        <f t="shared" si="1"/>
        <v>Cellular Colour 2 NA</v>
      </c>
      <c r="YK5" s="248" t="str">
        <f t="shared" si="1"/>
        <v>Cellular Colour 2 NA</v>
      </c>
      <c r="YL5" s="248" t="str">
        <f t="shared" si="1"/>
        <v>Cellular Colour 2 NA</v>
      </c>
      <c r="YM5" s="248" t="str">
        <f t="shared" si="1"/>
        <v>Cellular Colour 2 NA</v>
      </c>
      <c r="YN5" s="248" t="str">
        <f t="shared" si="1"/>
        <v>Cellular Colour 2 NA</v>
      </c>
      <c r="YO5" s="248" t="str">
        <f t="shared" si="1"/>
        <v>Cellular Colour 2 NA</v>
      </c>
      <c r="YP5" s="248" t="str">
        <f t="shared" si="1"/>
        <v>Cellular Colour 2 NA</v>
      </c>
      <c r="YQ5" s="199" t="str">
        <f>$XI$1</f>
        <v>Cellular Colour 2 38mm Double Cellular Blind</v>
      </c>
      <c r="YR5" s="199" t="str">
        <f>$ST$1</f>
        <v xml:space="preserve"> 38mm Double Cellular Blind Blockout Standard</v>
      </c>
      <c r="YU5" t="s">
        <v>1201</v>
      </c>
      <c r="YW5" s="206" t="s">
        <v>1197</v>
      </c>
      <c r="YX5" s="206" t="s">
        <v>1197</v>
      </c>
      <c r="ZI5" t="s">
        <v>2137</v>
      </c>
      <c r="ZK5" s="199" t="s">
        <v>1201</v>
      </c>
      <c r="ZL5" s="199">
        <v>5.2</v>
      </c>
      <c r="ZM5" s="199">
        <v>250</v>
      </c>
      <c r="ZN5" s="199">
        <v>2400</v>
      </c>
      <c r="ZO5" s="199">
        <v>300</v>
      </c>
      <c r="ZP5" s="199">
        <v>2100</v>
      </c>
      <c r="ZQ5" s="199" t="s">
        <v>1201</v>
      </c>
      <c r="ZR5" s="199">
        <v>5.2</v>
      </c>
      <c r="ZS5" s="199">
        <v>250</v>
      </c>
      <c r="ZT5" s="199">
        <v>2400</v>
      </c>
      <c r="ZU5" s="199">
        <v>300</v>
      </c>
      <c r="ZV5" s="199">
        <v>2100</v>
      </c>
      <c r="ZW5" s="199" t="s">
        <v>1201</v>
      </c>
      <c r="ZX5" s="199">
        <v>5.2</v>
      </c>
      <c r="ZY5" s="199">
        <v>250</v>
      </c>
      <c r="ZZ5" s="199">
        <v>2400</v>
      </c>
      <c r="AAA5" s="199">
        <v>300</v>
      </c>
      <c r="AAB5" s="199">
        <v>2100</v>
      </c>
      <c r="AAC5" s="353" t="s">
        <v>1201</v>
      </c>
      <c r="AAD5" s="353">
        <v>5.2</v>
      </c>
      <c r="AAE5" s="353">
        <v>250</v>
      </c>
      <c r="AAF5" s="353">
        <v>2400</v>
      </c>
      <c r="AAG5" s="353">
        <v>300</v>
      </c>
      <c r="AAH5" s="199">
        <v>2100</v>
      </c>
      <c r="AAK5" t="s">
        <v>1091</v>
      </c>
      <c r="AAL5" t="str">
        <f t="shared" si="4"/>
        <v>Oval Bottom Rail 2</v>
      </c>
      <c r="AAM5" t="str">
        <f t="shared" si="3"/>
        <v>Sewn In Pocket</v>
      </c>
      <c r="ABB5" t="s">
        <v>1091</v>
      </c>
      <c r="ABC5">
        <v>5</v>
      </c>
      <c r="ABD5" t="s">
        <v>330</v>
      </c>
      <c r="ABL5">
        <v>5</v>
      </c>
      <c r="ABM5" t="s">
        <v>1484</v>
      </c>
      <c r="ABW5">
        <v>5</v>
      </c>
      <c r="ABX5">
        <v>1600</v>
      </c>
      <c r="ABY5">
        <v>5500</v>
      </c>
    </row>
    <row r="6" spans="1:753" ht="15">
      <c r="L6" t="s">
        <v>138</v>
      </c>
      <c r="M6">
        <v>805</v>
      </c>
      <c r="N6" t="s">
        <v>7</v>
      </c>
      <c r="O6">
        <v>217052</v>
      </c>
      <c r="P6" t="s">
        <v>14</v>
      </c>
      <c r="Q6">
        <v>2297</v>
      </c>
      <c r="R6" t="s">
        <v>64</v>
      </c>
      <c r="S6" t="s">
        <v>28</v>
      </c>
      <c r="T6">
        <v>1980</v>
      </c>
      <c r="V6" s="1"/>
      <c r="W6" t="s">
        <v>215</v>
      </c>
      <c r="Y6" t="s">
        <v>238</v>
      </c>
      <c r="Z6" t="s">
        <v>243</v>
      </c>
      <c r="AA6" s="35" t="s">
        <v>1534</v>
      </c>
      <c r="AB6" t="s">
        <v>1145</v>
      </c>
      <c r="AF6" t="s">
        <v>338</v>
      </c>
      <c r="AH6" t="s">
        <v>346</v>
      </c>
      <c r="AJ6" t="s">
        <v>234</v>
      </c>
      <c r="AL6" t="s">
        <v>274</v>
      </c>
      <c r="AN6" t="s">
        <v>256</v>
      </c>
      <c r="AP6" t="s">
        <v>2291</v>
      </c>
      <c r="AR6" t="s">
        <v>2296</v>
      </c>
      <c r="AW6" s="36"/>
      <c r="BA6" t="s">
        <v>1820</v>
      </c>
      <c r="BC6" t="s">
        <v>873</v>
      </c>
      <c r="BD6" t="s">
        <v>553</v>
      </c>
      <c r="BE6" t="s">
        <v>549</v>
      </c>
      <c r="BF6" s="327" t="s">
        <v>549</v>
      </c>
      <c r="BG6" s="327" t="s">
        <v>549</v>
      </c>
      <c r="BI6" t="s">
        <v>303</v>
      </c>
      <c r="BK6" t="s">
        <v>308</v>
      </c>
      <c r="BM6" t="s">
        <v>324</v>
      </c>
      <c r="BW6" t="s">
        <v>353</v>
      </c>
      <c r="CJ6" t="s">
        <v>391</v>
      </c>
      <c r="CN6" t="s">
        <v>353</v>
      </c>
      <c r="CS6" t="s">
        <v>322</v>
      </c>
      <c r="CX6" t="s">
        <v>353</v>
      </c>
      <c r="DI6" t="s">
        <v>546</v>
      </c>
      <c r="DJ6" t="s">
        <v>1534</v>
      </c>
      <c r="DK6" t="s">
        <v>1534</v>
      </c>
      <c r="DL6" t="s">
        <v>408</v>
      </c>
      <c r="DN6" s="106"/>
      <c r="DO6" s="199" t="s">
        <v>420</v>
      </c>
      <c r="DP6" s="199">
        <v>2</v>
      </c>
      <c r="DQ6" s="199">
        <f t="shared" si="5"/>
        <v>0</v>
      </c>
      <c r="DR6" s="187" t="s">
        <v>390</v>
      </c>
      <c r="DS6" s="187" t="s">
        <v>390</v>
      </c>
      <c r="DT6" s="187" t="s">
        <v>388</v>
      </c>
      <c r="DU6" s="187" t="s">
        <v>387</v>
      </c>
      <c r="DY6" s="187" t="s">
        <v>390</v>
      </c>
      <c r="DZ6" s="187" t="s">
        <v>390</v>
      </c>
      <c r="EG6" t="s">
        <v>390</v>
      </c>
      <c r="EJ6" t="s">
        <v>588</v>
      </c>
      <c r="EK6" t="s">
        <v>22</v>
      </c>
      <c r="EL6" t="s">
        <v>663</v>
      </c>
      <c r="EM6" t="s">
        <v>724</v>
      </c>
      <c r="EN6" t="s">
        <v>724</v>
      </c>
      <c r="EO6" t="s">
        <v>724</v>
      </c>
      <c r="EU6" s="327" t="s">
        <v>1775</v>
      </c>
      <c r="FA6" s="210" t="s">
        <v>556</v>
      </c>
      <c r="FB6" s="210" t="s">
        <v>69</v>
      </c>
      <c r="FC6" t="s">
        <v>317</v>
      </c>
      <c r="FD6" t="s">
        <v>22</v>
      </c>
      <c r="FF6" t="s">
        <v>1083</v>
      </c>
      <c r="FG6" t="s">
        <v>317</v>
      </c>
      <c r="FH6" t="s">
        <v>317</v>
      </c>
      <c r="FJ6" t="s">
        <v>317</v>
      </c>
      <c r="FK6" t="s">
        <v>317</v>
      </c>
      <c r="FP6" t="s">
        <v>668</v>
      </c>
      <c r="HX6" t="s">
        <v>769</v>
      </c>
      <c r="ID6" t="s">
        <v>322</v>
      </c>
      <c r="IL6" t="s">
        <v>324</v>
      </c>
      <c r="IR6" t="s">
        <v>324</v>
      </c>
      <c r="IS6" t="s">
        <v>324</v>
      </c>
      <c r="IW6" t="s">
        <v>322</v>
      </c>
      <c r="IX6" s="210" t="s">
        <v>553</v>
      </c>
      <c r="JP6" t="s">
        <v>393</v>
      </c>
      <c r="JQ6" t="s">
        <v>393</v>
      </c>
      <c r="JR6" t="s">
        <v>393</v>
      </c>
      <c r="JY6" s="241" t="s">
        <v>393</v>
      </c>
      <c r="KB6" s="210" t="s">
        <v>875</v>
      </c>
      <c r="KC6" s="210" t="s">
        <v>553</v>
      </c>
      <c r="KD6" t="s">
        <v>549</v>
      </c>
      <c r="KF6" t="s">
        <v>235</v>
      </c>
      <c r="KG6" t="s">
        <v>656</v>
      </c>
      <c r="KH6" t="s">
        <v>839</v>
      </c>
      <c r="KV6" t="s">
        <v>338</v>
      </c>
      <c r="LJ6" t="s">
        <v>499</v>
      </c>
      <c r="LK6">
        <v>1</v>
      </c>
      <c r="LW6" s="188" t="s">
        <v>304</v>
      </c>
      <c r="LX6" s="186" t="s">
        <v>535</v>
      </c>
      <c r="LY6" s="186" t="s">
        <v>926</v>
      </c>
      <c r="LZ6" s="186" t="s">
        <v>466</v>
      </c>
      <c r="MA6" s="186" t="s">
        <v>516</v>
      </c>
      <c r="MB6" s="186"/>
      <c r="ME6" s="187" t="s">
        <v>998</v>
      </c>
      <c r="MF6" s="187" t="s">
        <v>303</v>
      </c>
      <c r="MK6" t="s">
        <v>302</v>
      </c>
      <c r="ML6" t="s">
        <v>22</v>
      </c>
      <c r="MN6" t="s">
        <v>1773</v>
      </c>
      <c r="MX6" t="s">
        <v>422</v>
      </c>
      <c r="MY6">
        <v>1</v>
      </c>
      <c r="NN6" t="s">
        <v>308</v>
      </c>
      <c r="NO6" s="232"/>
      <c r="NP6" s="232"/>
      <c r="NQ6" s="232"/>
      <c r="NR6" s="232"/>
      <c r="NS6" s="232"/>
      <c r="NT6" s="232"/>
      <c r="NU6" s="232"/>
      <c r="NV6" s="232"/>
      <c r="NW6" s="232" t="s">
        <v>393</v>
      </c>
      <c r="NX6" s="232" t="s">
        <v>393</v>
      </c>
      <c r="NY6" s="232" t="s">
        <v>393</v>
      </c>
      <c r="NZ6" s="232"/>
      <c r="OA6" s="232"/>
      <c r="OB6" s="232"/>
      <c r="OC6" s="232"/>
      <c r="OD6" s="232"/>
      <c r="OE6" s="232"/>
      <c r="OG6" s="241" t="s">
        <v>393</v>
      </c>
      <c r="OL6" t="s">
        <v>358</v>
      </c>
      <c r="PB6" t="s">
        <v>1116</v>
      </c>
      <c r="PC6" t="s">
        <v>1112</v>
      </c>
      <c r="PD6" t="s">
        <v>1112</v>
      </c>
      <c r="PE6" t="s">
        <v>1117</v>
      </c>
      <c r="PG6" t="s">
        <v>1118</v>
      </c>
      <c r="PH6" t="s">
        <v>1119</v>
      </c>
      <c r="PI6" t="s">
        <v>1117</v>
      </c>
      <c r="PJ6" t="s">
        <v>1117</v>
      </c>
      <c r="PL6" t="s">
        <v>1120</v>
      </c>
      <c r="PU6" t="s">
        <v>1456</v>
      </c>
      <c r="QG6" t="s">
        <v>1164</v>
      </c>
      <c r="QK6" t="s">
        <v>1467</v>
      </c>
      <c r="QL6" t="s">
        <v>1419</v>
      </c>
      <c r="QM6" t="s">
        <v>1419</v>
      </c>
      <c r="RB6" t="s">
        <v>2137</v>
      </c>
      <c r="RC6" t="s">
        <v>1187</v>
      </c>
      <c r="RD6" t="s">
        <v>1187</v>
      </c>
      <c r="RF6" t="s">
        <v>1187</v>
      </c>
      <c r="RG6" t="s">
        <v>1187</v>
      </c>
      <c r="RI6" t="s">
        <v>1187</v>
      </c>
      <c r="RJ6" t="s">
        <v>1187</v>
      </c>
      <c r="RL6" t="s">
        <v>1187</v>
      </c>
      <c r="RM6" t="s">
        <v>1187</v>
      </c>
      <c r="RN6" t="s">
        <v>1187</v>
      </c>
      <c r="RU6" t="s">
        <v>1212</v>
      </c>
      <c r="RV6" t="str">
        <f t="shared" si="2"/>
        <v>CellularBlindProduct</v>
      </c>
      <c r="RW6" t="s">
        <v>1195</v>
      </c>
      <c r="SE6" s="436" t="s">
        <v>1219</v>
      </c>
      <c r="SF6" s="436" t="s">
        <v>377</v>
      </c>
      <c r="SG6" s="436" t="s">
        <v>377</v>
      </c>
      <c r="SH6" s="436" t="s">
        <v>1221</v>
      </c>
      <c r="SI6" s="436" t="s">
        <v>1221</v>
      </c>
      <c r="SJ6" s="436" t="s">
        <v>1221</v>
      </c>
      <c r="SK6" s="436" t="s">
        <v>1162</v>
      </c>
      <c r="SL6" s="436" t="s">
        <v>1228</v>
      </c>
      <c r="SM6" s="436" t="s">
        <v>1244</v>
      </c>
      <c r="SN6" s="436" t="s">
        <v>1230</v>
      </c>
      <c r="SO6" s="436" t="s">
        <v>1229</v>
      </c>
      <c r="SP6" s="436" t="s">
        <v>1230</v>
      </c>
      <c r="SQ6" s="436" t="s">
        <v>1229</v>
      </c>
      <c r="SR6" s="436" t="s">
        <v>1231</v>
      </c>
      <c r="SS6" t="s">
        <v>1221</v>
      </c>
      <c r="TB6" s="39" t="s">
        <v>2137</v>
      </c>
      <c r="TC6" t="str">
        <f>SN214</f>
        <v xml:space="preserve"> 45mm Single Cell Cell In A Cell Blockout</v>
      </c>
      <c r="TD6" t="str">
        <f>SO214</f>
        <v xml:space="preserve"> 45mm Single Cell Cell In A Cell Blockout Bamboo</v>
      </c>
      <c r="TE6" t="str">
        <f>SM214</f>
        <v xml:space="preserve"> 45mm Single Cell Cell In A Cell Translucent Bamboo</v>
      </c>
      <c r="TF6" s="199" t="s">
        <v>332</v>
      </c>
      <c r="TG6" s="199" t="s">
        <v>332</v>
      </c>
      <c r="TH6" s="199" t="s">
        <v>332</v>
      </c>
      <c r="TI6" s="199" t="s">
        <v>332</v>
      </c>
      <c r="TJ6" s="199" t="s">
        <v>332</v>
      </c>
      <c r="TK6" s="199" t="s">
        <v>332</v>
      </c>
      <c r="TL6" s="199" t="s">
        <v>332</v>
      </c>
      <c r="TM6" t="str">
        <f>SL214</f>
        <v xml:space="preserve"> 45mm Single Cell Translucent Cell In A Cell</v>
      </c>
      <c r="TN6" s="199" t="s">
        <v>332</v>
      </c>
      <c r="TO6" s="199" t="s">
        <v>332</v>
      </c>
      <c r="TP6" s="199" t="s">
        <v>332</v>
      </c>
      <c r="TQ6" s="199" t="s">
        <v>332</v>
      </c>
      <c r="TR6" s="199" t="s">
        <v>332</v>
      </c>
      <c r="TS6" s="199" t="s">
        <v>332</v>
      </c>
      <c r="TT6" s="199" t="s">
        <v>332</v>
      </c>
      <c r="TU6" s="199" t="s">
        <v>332</v>
      </c>
      <c r="TV6" s="199" t="s">
        <v>332</v>
      </c>
      <c r="TW6" s="199" t="s">
        <v>332</v>
      </c>
      <c r="TX6" s="199" t="s">
        <v>332</v>
      </c>
      <c r="TY6" s="199" t="s">
        <v>332</v>
      </c>
      <c r="TZ6" s="199" t="s">
        <v>332</v>
      </c>
      <c r="UA6" t="str">
        <f>$SF$146</f>
        <v xml:space="preserve"> 45mm Cell In A Cell Cellular Blind Day Night Blockout Colours</v>
      </c>
      <c r="UB6" s="35" t="str">
        <f>$XJ$1</f>
        <v>Cellular Colour 2 45mm Cell In A Cell Cellular Blind</v>
      </c>
      <c r="UC6" s="436" t="s">
        <v>1273</v>
      </c>
      <c r="UD6" s="436" t="s">
        <v>1274</v>
      </c>
      <c r="UE6" s="436" t="s">
        <v>1256</v>
      </c>
      <c r="UF6" s="436" t="s">
        <v>1256</v>
      </c>
      <c r="UG6" s="35" t="s">
        <v>1309</v>
      </c>
      <c r="UH6" s="204" t="s">
        <v>1311</v>
      </c>
      <c r="UI6" s="35" t="s">
        <v>2016</v>
      </c>
      <c r="UJ6" s="35" t="s">
        <v>1321</v>
      </c>
      <c r="UK6" s="35" t="s">
        <v>1326</v>
      </c>
      <c r="UL6" s="204" t="s">
        <v>1321</v>
      </c>
      <c r="UM6" s="204" t="s">
        <v>1326</v>
      </c>
      <c r="UN6" s="35" t="s">
        <v>1295</v>
      </c>
      <c r="UO6" s="241" t="s">
        <v>1275</v>
      </c>
      <c r="US6" t="s">
        <v>1134</v>
      </c>
      <c r="UT6" t="s">
        <v>1212</v>
      </c>
      <c r="VD6" s="35" t="s">
        <v>2129</v>
      </c>
      <c r="VL6" s="245" t="s">
        <v>1212</v>
      </c>
      <c r="VM6" s="245" t="str">
        <f>VW1</f>
        <v>Cordless Day Night 25mm Single</v>
      </c>
      <c r="VN6" s="245" t="str">
        <f>WH1</f>
        <v>Cordless Day Night 38mm Single</v>
      </c>
      <c r="VO6" s="245" t="str">
        <f>WH47</f>
        <v>Cordless Day Night 45mm Single</v>
      </c>
      <c r="VP6" s="245" t="str">
        <f>WH83</f>
        <v>Cordless Day Night 45mm Single Cell In A Cell</v>
      </c>
      <c r="VQ6" s="245" t="str">
        <f>WS1</f>
        <v>Cordless Day Night 38mm Double</v>
      </c>
      <c r="VR6" t="s">
        <v>1187</v>
      </c>
      <c r="VS6" s="204" t="s">
        <v>1186</v>
      </c>
      <c r="VU6" s="204" t="s">
        <v>1186</v>
      </c>
      <c r="VV6" t="s">
        <v>1186</v>
      </c>
      <c r="VX6" t="s">
        <v>1186</v>
      </c>
      <c r="VY6" t="s">
        <v>1186</v>
      </c>
      <c r="WA6" t="s">
        <v>1186</v>
      </c>
      <c r="WB6" t="s">
        <v>1186</v>
      </c>
      <c r="WC6" t="s">
        <v>1186</v>
      </c>
      <c r="WD6" s="178" t="s">
        <v>1854</v>
      </c>
      <c r="WF6" t="s">
        <v>1854</v>
      </c>
      <c r="WG6" t="s">
        <v>1854</v>
      </c>
      <c r="WI6" t="s">
        <v>1854</v>
      </c>
      <c r="WJ6" t="s">
        <v>1854</v>
      </c>
      <c r="WL6" t="s">
        <v>1854</v>
      </c>
      <c r="WM6" t="s">
        <v>1854</v>
      </c>
      <c r="WN6" t="s">
        <v>1854</v>
      </c>
      <c r="XF6" s="436" t="s">
        <v>1274</v>
      </c>
      <c r="XG6" s="436" t="s">
        <v>1273</v>
      </c>
      <c r="XH6" s="436" t="s">
        <v>1937</v>
      </c>
      <c r="XI6" s="241" t="s">
        <v>1275</v>
      </c>
      <c r="XJ6" t="s">
        <v>1276</v>
      </c>
      <c r="XS6" s="39" t="s">
        <v>2137</v>
      </c>
      <c r="XT6" s="248" t="str">
        <f t="shared" si="0"/>
        <v>Cellular Colour 2 NA</v>
      </c>
      <c r="XU6" s="248" t="str">
        <f t="shared" si="0"/>
        <v>Cellular Colour 2 NA</v>
      </c>
      <c r="XV6" s="248" t="str">
        <f t="shared" si="0"/>
        <v>Cellular Colour 2 NA</v>
      </c>
      <c r="XW6" s="248" t="str">
        <f t="shared" si="0"/>
        <v>Cellular Colour 2 NA</v>
      </c>
      <c r="XX6" s="248" t="str">
        <f t="shared" si="0"/>
        <v>Cellular Colour 2 NA</v>
      </c>
      <c r="XY6" s="248" t="str">
        <f t="shared" si="0"/>
        <v>Cellular Colour 2 NA</v>
      </c>
      <c r="XZ6" s="248" t="str">
        <f t="shared" si="0"/>
        <v>Cellular Colour 2 NA</v>
      </c>
      <c r="YA6" s="248" t="str">
        <f t="shared" si="1"/>
        <v>Cellular Colour 2 NA</v>
      </c>
      <c r="YB6" s="248" t="str">
        <f t="shared" si="1"/>
        <v>Cellular Colour 2 NA</v>
      </c>
      <c r="YC6" s="248" t="str">
        <f t="shared" si="1"/>
        <v>Cellular Colour 2 NA</v>
      </c>
      <c r="YD6" s="248" t="str">
        <f t="shared" si="1"/>
        <v>Cellular Colour 2 NA</v>
      </c>
      <c r="YE6" s="248" t="str">
        <f t="shared" si="1"/>
        <v>Cellular Colour 2 NA</v>
      </c>
      <c r="YF6" s="248" t="str">
        <f t="shared" si="1"/>
        <v>Cellular Colour 2 NA</v>
      </c>
      <c r="YG6" s="248" t="str">
        <f t="shared" si="1"/>
        <v>Cellular Colour 2 NA</v>
      </c>
      <c r="YH6" s="248" t="str">
        <f t="shared" si="1"/>
        <v>Cellular Colour 2 NA</v>
      </c>
      <c r="YI6" s="248" t="str">
        <f t="shared" si="1"/>
        <v>Cellular Colour 2 NA</v>
      </c>
      <c r="YJ6" s="248" t="str">
        <f t="shared" si="1"/>
        <v>Cellular Colour 2 NA</v>
      </c>
      <c r="YK6" s="248" t="str">
        <f t="shared" si="1"/>
        <v>Cellular Colour 2 NA</v>
      </c>
      <c r="YL6" s="248" t="str">
        <f t="shared" si="1"/>
        <v>Cellular Colour 2 NA</v>
      </c>
      <c r="YM6" s="248" t="str">
        <f t="shared" si="1"/>
        <v>Cellular Colour 2 NA</v>
      </c>
      <c r="YN6" s="248" t="str">
        <f t="shared" si="1"/>
        <v>Cellular Colour 2 NA</v>
      </c>
      <c r="YO6" s="248" t="str">
        <f t="shared" si="1"/>
        <v>Cellular Colour 2 NA</v>
      </c>
      <c r="YP6" s="248" t="str">
        <f t="shared" si="1"/>
        <v>Cellular Colour 2 NA</v>
      </c>
      <c r="YQ6" s="460" t="str">
        <f>$SF$146</f>
        <v xml:space="preserve"> 45mm Cell In A Cell Cellular Blind Day Night Blockout Colours</v>
      </c>
      <c r="YR6" s="460" t="str">
        <f>$SF$146</f>
        <v xml:space="preserve"> 45mm Cell In A Cell Cellular Blind Day Night Blockout Colours</v>
      </c>
      <c r="YU6" t="s">
        <v>1212</v>
      </c>
      <c r="ZK6" s="199" t="s">
        <v>1212</v>
      </c>
      <c r="ZL6" s="199">
        <v>5.2</v>
      </c>
      <c r="ZM6" s="199">
        <v>550</v>
      </c>
      <c r="ZN6" s="199">
        <v>2400</v>
      </c>
      <c r="ZO6" s="199">
        <v>300</v>
      </c>
      <c r="ZP6" s="199">
        <v>2100</v>
      </c>
      <c r="ZQ6" s="199" t="s">
        <v>1212</v>
      </c>
      <c r="ZR6" s="199">
        <v>5.2</v>
      </c>
      <c r="ZS6" s="199">
        <v>550</v>
      </c>
      <c r="ZT6" s="199">
        <v>2400</v>
      </c>
      <c r="ZU6" s="199">
        <v>300</v>
      </c>
      <c r="ZV6" s="199">
        <v>2100</v>
      </c>
      <c r="ZW6" s="199" t="s">
        <v>1212</v>
      </c>
      <c r="ZX6" s="199">
        <v>5.2</v>
      </c>
      <c r="ZY6" s="199">
        <v>550</v>
      </c>
      <c r="ZZ6" s="199">
        <v>2400</v>
      </c>
      <c r="AAA6" s="199">
        <v>300</v>
      </c>
      <c r="AAB6" s="199">
        <v>2100</v>
      </c>
      <c r="AAC6" s="353" t="s">
        <v>1212</v>
      </c>
      <c r="AAD6" s="353">
        <v>5.2</v>
      </c>
      <c r="AAE6" s="353">
        <v>550</v>
      </c>
      <c r="AAF6" s="353">
        <v>2400</v>
      </c>
      <c r="AAG6" s="353">
        <v>300</v>
      </c>
      <c r="AAH6" s="199">
        <v>2100</v>
      </c>
      <c r="AAK6" t="s">
        <v>212</v>
      </c>
      <c r="AAL6" s="35" t="str">
        <f>$CS$2</f>
        <v>Oval Bottom Rail</v>
      </c>
      <c r="AAM6" t="str">
        <f t="shared" si="3"/>
        <v>Sewn In Pocket</v>
      </c>
      <c r="ABB6" t="s">
        <v>212</v>
      </c>
      <c r="ABC6">
        <v>6</v>
      </c>
      <c r="ABD6" t="s">
        <v>322</v>
      </c>
      <c r="ABL6">
        <v>6</v>
      </c>
      <c r="ABM6" t="s">
        <v>1485</v>
      </c>
      <c r="ABW6">
        <v>6</v>
      </c>
      <c r="ABX6">
        <v>1600</v>
      </c>
      <c r="ABY6">
        <v>5500</v>
      </c>
    </row>
    <row r="7" spans="1:753" ht="15">
      <c r="L7" t="s">
        <v>114</v>
      </c>
      <c r="M7">
        <v>807</v>
      </c>
      <c r="N7" t="s">
        <v>2</v>
      </c>
      <c r="O7">
        <v>215299</v>
      </c>
      <c r="P7" t="s">
        <v>15</v>
      </c>
      <c r="Q7">
        <v>2317</v>
      </c>
      <c r="R7" t="s">
        <v>66</v>
      </c>
      <c r="S7" t="s">
        <v>22</v>
      </c>
      <c r="T7">
        <v>1981</v>
      </c>
      <c r="V7" s="1"/>
      <c r="Y7" t="s">
        <v>239</v>
      </c>
      <c r="Z7" t="s">
        <v>244</v>
      </c>
      <c r="AA7" s="35" t="s">
        <v>444</v>
      </c>
      <c r="AB7" t="s">
        <v>1148</v>
      </c>
      <c r="AF7" t="s">
        <v>339</v>
      </c>
      <c r="AH7" t="s">
        <v>347</v>
      </c>
      <c r="AJ7" t="s">
        <v>235</v>
      </c>
      <c r="AL7" t="s">
        <v>272</v>
      </c>
      <c r="AN7" t="s">
        <v>257</v>
      </c>
      <c r="AR7" s="35"/>
      <c r="AW7" s="36"/>
      <c r="BA7" t="s">
        <v>1794</v>
      </c>
      <c r="BC7" s="327" t="s">
        <v>1775</v>
      </c>
      <c r="BD7" t="s">
        <v>555</v>
      </c>
      <c r="BI7" t="s">
        <v>304</v>
      </c>
      <c r="BK7" t="s">
        <v>317</v>
      </c>
      <c r="BM7" t="s">
        <v>323</v>
      </c>
      <c r="CJ7" t="s">
        <v>392</v>
      </c>
      <c r="CS7" t="s">
        <v>406</v>
      </c>
      <c r="DI7" t="s">
        <v>547</v>
      </c>
      <c r="DJ7" t="s">
        <v>444</v>
      </c>
      <c r="DK7" t="s">
        <v>444</v>
      </c>
      <c r="DN7" s="106"/>
      <c r="DO7" s="199" t="s">
        <v>504</v>
      </c>
      <c r="DP7" s="199">
        <v>2</v>
      </c>
      <c r="DQ7" s="199">
        <f t="shared" si="5"/>
        <v>1</v>
      </c>
      <c r="DR7" s="187" t="s">
        <v>393</v>
      </c>
      <c r="DS7" s="187" t="s">
        <v>393</v>
      </c>
      <c r="DU7" s="187" t="s">
        <v>388</v>
      </c>
      <c r="DY7" s="187" t="s">
        <v>393</v>
      </c>
      <c r="DZ7" s="187" t="s">
        <v>393</v>
      </c>
      <c r="EG7" t="s">
        <v>393</v>
      </c>
      <c r="EJ7" t="s">
        <v>595</v>
      </c>
      <c r="EK7" t="s">
        <v>22</v>
      </c>
      <c r="EL7" t="s">
        <v>663</v>
      </c>
      <c r="EM7" t="s">
        <v>604</v>
      </c>
      <c r="EN7" t="s">
        <v>604</v>
      </c>
      <c r="EO7" t="s">
        <v>604</v>
      </c>
      <c r="FA7" s="210" t="s">
        <v>1544</v>
      </c>
      <c r="FB7" s="210" t="s">
        <v>69</v>
      </c>
      <c r="FC7" t="s">
        <v>318</v>
      </c>
      <c r="FD7" t="s">
        <v>22</v>
      </c>
      <c r="FF7" t="s">
        <v>622</v>
      </c>
      <c r="FG7" t="s">
        <v>318</v>
      </c>
      <c r="FH7" t="s">
        <v>318</v>
      </c>
      <c r="FJ7" t="s">
        <v>318</v>
      </c>
      <c r="FK7" t="s">
        <v>318</v>
      </c>
      <c r="FP7" t="s">
        <v>669</v>
      </c>
      <c r="HX7" t="s">
        <v>391</v>
      </c>
      <c r="IL7" t="s">
        <v>323</v>
      </c>
      <c r="IR7" t="s">
        <v>323</v>
      </c>
      <c r="IS7" t="s">
        <v>323</v>
      </c>
      <c r="IX7" s="210" t="s">
        <v>555</v>
      </c>
      <c r="KB7" s="210" t="s">
        <v>552</v>
      </c>
      <c r="KC7" s="210" t="s">
        <v>555</v>
      </c>
      <c r="KF7" t="s">
        <v>83</v>
      </c>
      <c r="KG7" t="s">
        <v>655</v>
      </c>
      <c r="KH7" t="s">
        <v>840</v>
      </c>
      <c r="KV7" t="s">
        <v>339</v>
      </c>
      <c r="LJ7" t="s">
        <v>498</v>
      </c>
      <c r="LK7">
        <v>1</v>
      </c>
      <c r="LW7" s="198" t="s">
        <v>332</v>
      </c>
      <c r="LX7" s="186" t="s">
        <v>480</v>
      </c>
      <c r="LY7" s="186" t="s">
        <v>922</v>
      </c>
      <c r="LZ7" s="186" t="s">
        <v>467</v>
      </c>
      <c r="MA7" s="186" t="s">
        <v>488</v>
      </c>
      <c r="MB7" s="186"/>
      <c r="ME7" s="187" t="s">
        <v>303</v>
      </c>
      <c r="MF7" s="187" t="s">
        <v>302</v>
      </c>
      <c r="MK7" t="s">
        <v>332</v>
      </c>
      <c r="ML7" t="s">
        <v>69</v>
      </c>
      <c r="NN7" t="s">
        <v>317</v>
      </c>
      <c r="NO7" s="36"/>
      <c r="NP7" s="36"/>
      <c r="NQ7" s="36"/>
      <c r="NR7" s="36"/>
      <c r="NS7" s="36"/>
      <c r="NT7" s="36"/>
      <c r="NU7" s="36"/>
      <c r="NV7" s="36"/>
      <c r="NW7" s="36"/>
      <c r="NX7" s="36"/>
      <c r="NY7" s="36"/>
      <c r="NZ7" s="36"/>
      <c r="OA7" s="36"/>
      <c r="OB7" s="36"/>
      <c r="OC7" s="36"/>
      <c r="OD7" s="36"/>
      <c r="OE7" s="36"/>
      <c r="OL7" t="s">
        <v>2284</v>
      </c>
      <c r="PC7" t="s">
        <v>322</v>
      </c>
      <c r="PD7" t="s">
        <v>322</v>
      </c>
      <c r="PG7" t="s">
        <v>1121</v>
      </c>
      <c r="PH7" t="s">
        <v>1122</v>
      </c>
      <c r="PL7" t="s">
        <v>1117</v>
      </c>
      <c r="PU7" t="s">
        <v>1457</v>
      </c>
      <c r="QG7" t="s">
        <v>1167</v>
      </c>
      <c r="QK7" t="s">
        <v>1468</v>
      </c>
      <c r="QL7" t="s">
        <v>1420</v>
      </c>
      <c r="QM7" t="s">
        <v>1420</v>
      </c>
      <c r="RC7" t="s">
        <v>1188</v>
      </c>
      <c r="RD7" t="s">
        <v>1188</v>
      </c>
      <c r="RF7" t="s">
        <v>1188</v>
      </c>
      <c r="RG7" t="s">
        <v>1188</v>
      </c>
      <c r="RI7" t="s">
        <v>1188</v>
      </c>
      <c r="RJ7" t="s">
        <v>1188</v>
      </c>
      <c r="RL7" t="s">
        <v>1188</v>
      </c>
      <c r="RM7" t="s">
        <v>1188</v>
      </c>
      <c r="RN7" t="s">
        <v>1188</v>
      </c>
      <c r="RU7" t="s">
        <v>1184</v>
      </c>
      <c r="RV7" t="str">
        <f t="shared" si="2"/>
        <v>CellularBlindProduct</v>
      </c>
      <c r="RW7" s="204" t="s">
        <v>1196</v>
      </c>
      <c r="SE7" s="436" t="s">
        <v>1224</v>
      </c>
      <c r="SF7" s="436" t="s">
        <v>1220</v>
      </c>
      <c r="SG7" s="436" t="s">
        <v>1220</v>
      </c>
      <c r="SH7" s="436" t="s">
        <v>1162</v>
      </c>
      <c r="SI7" s="436" t="s">
        <v>1162</v>
      </c>
      <c r="SJ7" s="436" t="s">
        <v>1162</v>
      </c>
      <c r="SK7" s="436" t="s">
        <v>1222</v>
      </c>
      <c r="SM7" s="436" t="s">
        <v>1229</v>
      </c>
      <c r="SS7" t="s">
        <v>1162</v>
      </c>
      <c r="TB7" s="39"/>
      <c r="UC7" s="436" t="s">
        <v>1327</v>
      </c>
      <c r="UD7" s="436" t="s">
        <v>1328</v>
      </c>
      <c r="UE7" s="436" t="s">
        <v>1257</v>
      </c>
      <c r="UF7" s="436" t="s">
        <v>1257</v>
      </c>
      <c r="UG7" s="35" t="s">
        <v>1310</v>
      </c>
      <c r="UI7" s="35" t="s">
        <v>1316</v>
      </c>
      <c r="UO7" s="241" t="s">
        <v>1276</v>
      </c>
      <c r="US7" t="s">
        <v>1135</v>
      </c>
      <c r="UT7" t="s">
        <v>1184</v>
      </c>
      <c r="VD7" s="35" t="s">
        <v>2130</v>
      </c>
      <c r="VL7" s="245" t="s">
        <v>1184</v>
      </c>
      <c r="VM7" s="245" t="str">
        <f>VX1</f>
        <v>Cordless Top Down Bottom Up 25mm Single</v>
      </c>
      <c r="VN7" s="245" t="str">
        <f>WI1</f>
        <v>Cordless Top Down Bottom Up 38mm Single</v>
      </c>
      <c r="VO7" s="245" t="str">
        <f>WI47</f>
        <v>Cordless Top Down Bottom Up 45mm Single</v>
      </c>
      <c r="VP7" s="245" t="str">
        <f>WI83</f>
        <v>Cordless Top Down Bottom Up 45mm Single Cell In A Cell</v>
      </c>
      <c r="VQ7" s="245" t="str">
        <f>WT1</f>
        <v>Cordless Top Down Bottom Up 38mm Double</v>
      </c>
      <c r="VR7" t="s">
        <v>1188</v>
      </c>
      <c r="VS7" s="204" t="s">
        <v>1190</v>
      </c>
      <c r="VU7" s="204" t="s">
        <v>1190</v>
      </c>
      <c r="VV7" t="s">
        <v>1190</v>
      </c>
      <c r="VX7" t="s">
        <v>1190</v>
      </c>
      <c r="VY7" t="s">
        <v>1190</v>
      </c>
      <c r="WA7" t="s">
        <v>1190</v>
      </c>
      <c r="WB7" t="s">
        <v>1190</v>
      </c>
      <c r="WC7" t="s">
        <v>1190</v>
      </c>
      <c r="WD7" t="s">
        <v>1185</v>
      </c>
      <c r="WF7" t="s">
        <v>1185</v>
      </c>
      <c r="WG7" t="s">
        <v>1185</v>
      </c>
      <c r="WI7" t="s">
        <v>1185</v>
      </c>
      <c r="WJ7" t="s">
        <v>1185</v>
      </c>
      <c r="WL7" t="s">
        <v>1185</v>
      </c>
      <c r="WM7" t="s">
        <v>1185</v>
      </c>
      <c r="WN7" t="s">
        <v>1185</v>
      </c>
      <c r="XF7" s="436" t="s">
        <v>1328</v>
      </c>
      <c r="XG7" s="436" t="s">
        <v>1327</v>
      </c>
      <c r="XH7" s="436" t="s">
        <v>1938</v>
      </c>
      <c r="XI7" s="241" t="s">
        <v>1276</v>
      </c>
      <c r="XJ7" t="s">
        <v>2208</v>
      </c>
      <c r="YU7" t="s">
        <v>1184</v>
      </c>
      <c r="ZK7" s="199" t="s">
        <v>1184</v>
      </c>
      <c r="ZL7" s="199">
        <v>5.2</v>
      </c>
      <c r="ZM7" s="199">
        <v>550</v>
      </c>
      <c r="ZN7" s="199">
        <v>2400</v>
      </c>
      <c r="ZO7" s="199">
        <v>300</v>
      </c>
      <c r="ZP7" s="199">
        <v>2100</v>
      </c>
      <c r="ZQ7" s="199" t="s">
        <v>1184</v>
      </c>
      <c r="ZR7" s="199">
        <v>5.2</v>
      </c>
      <c r="ZS7" s="199">
        <v>550</v>
      </c>
      <c r="ZT7" s="199">
        <v>2400</v>
      </c>
      <c r="ZU7" s="199">
        <v>300</v>
      </c>
      <c r="ZV7" s="199">
        <v>2100</v>
      </c>
      <c r="ZW7" s="199" t="s">
        <v>1184</v>
      </c>
      <c r="ZX7" s="199">
        <v>5.2</v>
      </c>
      <c r="ZY7" s="199">
        <v>550</v>
      </c>
      <c r="ZZ7" s="199">
        <v>2400</v>
      </c>
      <c r="AAA7" s="199">
        <v>300</v>
      </c>
      <c r="AAB7" s="199">
        <v>2100</v>
      </c>
      <c r="AAC7" s="353" t="s">
        <v>1184</v>
      </c>
      <c r="AAD7" s="353">
        <v>5.2</v>
      </c>
      <c r="AAE7" s="353">
        <v>550</v>
      </c>
      <c r="AAF7" s="353">
        <v>2400</v>
      </c>
      <c r="AAG7" s="353">
        <v>300</v>
      </c>
      <c r="AAH7" s="199">
        <v>2100</v>
      </c>
      <c r="AAK7" t="s">
        <v>213</v>
      </c>
      <c r="AAL7" s="35" t="str">
        <f>$CS$2</f>
        <v>Oval Bottom Rail</v>
      </c>
      <c r="AAM7" t="str">
        <f t="shared" si="3"/>
        <v>Sewn In Pocket</v>
      </c>
      <c r="ABB7" t="s">
        <v>213</v>
      </c>
      <c r="ABC7">
        <v>7</v>
      </c>
      <c r="ABD7" t="s">
        <v>406</v>
      </c>
      <c r="ABL7">
        <v>7</v>
      </c>
      <c r="ABM7" t="s">
        <v>1486</v>
      </c>
      <c r="ABW7">
        <v>7</v>
      </c>
      <c r="ABX7">
        <v>1600</v>
      </c>
      <c r="ABY7">
        <v>5500</v>
      </c>
    </row>
    <row r="8" spans="1:753" ht="15">
      <c r="L8" t="s">
        <v>40</v>
      </c>
      <c r="M8">
        <v>808</v>
      </c>
      <c r="N8" t="s">
        <v>3</v>
      </c>
      <c r="O8">
        <v>215300</v>
      </c>
      <c r="P8" t="s">
        <v>9</v>
      </c>
      <c r="Q8">
        <v>2277</v>
      </c>
      <c r="R8" t="s">
        <v>68</v>
      </c>
      <c r="S8" t="s">
        <v>69</v>
      </c>
      <c r="T8">
        <v>1982</v>
      </c>
      <c r="V8" s="1"/>
      <c r="Y8" t="s">
        <v>368</v>
      </c>
      <c r="AA8" s="35" t="s">
        <v>436</v>
      </c>
      <c r="AB8" t="s">
        <v>1149</v>
      </c>
      <c r="AF8" t="s">
        <v>340</v>
      </c>
      <c r="AH8" t="s">
        <v>348</v>
      </c>
      <c r="AJ8" t="s">
        <v>83</v>
      </c>
      <c r="AN8" t="s">
        <v>258</v>
      </c>
      <c r="AQ8" s="210"/>
      <c r="AW8" s="36"/>
      <c r="BD8" t="s">
        <v>560</v>
      </c>
      <c r="BI8" s="204" t="s">
        <v>332</v>
      </c>
      <c r="BK8" t="s">
        <v>318</v>
      </c>
      <c r="BM8" t="s">
        <v>329</v>
      </c>
      <c r="CJ8" t="s">
        <v>387</v>
      </c>
      <c r="DI8" t="s">
        <v>548</v>
      </c>
      <c r="DJ8" t="s">
        <v>436</v>
      </c>
      <c r="DK8" t="s">
        <v>436</v>
      </c>
      <c r="DN8" s="106"/>
      <c r="DO8" s="199" t="s">
        <v>499</v>
      </c>
      <c r="DP8" s="199">
        <v>3</v>
      </c>
      <c r="DQ8" s="199">
        <f t="shared" si="5"/>
        <v>1</v>
      </c>
      <c r="EJ8" t="s">
        <v>589</v>
      </c>
      <c r="EK8" t="s">
        <v>22</v>
      </c>
      <c r="EL8" t="s">
        <v>657</v>
      </c>
      <c r="EM8" t="s">
        <v>1770</v>
      </c>
      <c r="EN8" t="s">
        <v>1770</v>
      </c>
      <c r="EO8" t="s">
        <v>1770</v>
      </c>
      <c r="FA8" s="210" t="s">
        <v>557</v>
      </c>
      <c r="FB8" s="210" t="s">
        <v>69</v>
      </c>
      <c r="FC8" t="s">
        <v>354</v>
      </c>
      <c r="FD8" t="s">
        <v>22</v>
      </c>
      <c r="FF8" t="s">
        <v>623</v>
      </c>
      <c r="FG8" t="s">
        <v>354</v>
      </c>
      <c r="FH8" t="s">
        <v>354</v>
      </c>
      <c r="FJ8" t="s">
        <v>354</v>
      </c>
      <c r="FK8" t="s">
        <v>354</v>
      </c>
      <c r="FP8" t="s">
        <v>670</v>
      </c>
      <c r="HX8" t="s">
        <v>669</v>
      </c>
      <c r="IL8" t="s">
        <v>329</v>
      </c>
      <c r="IR8" t="s">
        <v>329</v>
      </c>
      <c r="IS8" t="s">
        <v>329</v>
      </c>
      <c r="IX8" s="210" t="s">
        <v>560</v>
      </c>
      <c r="KC8" s="210" t="s">
        <v>560</v>
      </c>
      <c r="KF8" t="s">
        <v>86</v>
      </c>
      <c r="KG8" t="s">
        <v>655</v>
      </c>
      <c r="KV8" t="s">
        <v>340</v>
      </c>
      <c r="LJ8" t="s">
        <v>510</v>
      </c>
      <c r="LK8">
        <v>1</v>
      </c>
      <c r="LW8" s="187" t="s">
        <v>998</v>
      </c>
      <c r="LX8" s="186" t="s">
        <v>525</v>
      </c>
      <c r="LY8" s="186" t="s">
        <v>929</v>
      </c>
      <c r="LZ8" s="186" t="s">
        <v>468</v>
      </c>
      <c r="MA8" s="186" t="s">
        <v>490</v>
      </c>
      <c r="MB8" s="186"/>
      <c r="ME8" s="187" t="s">
        <v>302</v>
      </c>
      <c r="MK8" t="s">
        <v>998</v>
      </c>
      <c r="ML8" t="s">
        <v>22</v>
      </c>
      <c r="NN8" t="s">
        <v>318</v>
      </c>
      <c r="NO8" s="36"/>
      <c r="NP8" s="36"/>
      <c r="NQ8" s="36"/>
      <c r="NR8" s="36"/>
      <c r="NS8" s="36"/>
      <c r="NT8" s="36"/>
      <c r="NU8" s="36"/>
      <c r="NV8" s="36"/>
      <c r="NW8" s="36"/>
      <c r="NX8" s="36"/>
      <c r="NY8" s="36"/>
      <c r="NZ8" s="36"/>
      <c r="OA8" s="36"/>
      <c r="OB8" s="36"/>
      <c r="OC8" s="36"/>
      <c r="OD8" s="36"/>
      <c r="OE8" s="36"/>
      <c r="PG8" t="s">
        <v>1123</v>
      </c>
      <c r="PH8" t="s">
        <v>1124</v>
      </c>
      <c r="QG8" t="s">
        <v>1168</v>
      </c>
      <c r="QK8" t="s">
        <v>1471</v>
      </c>
      <c r="QL8" t="s">
        <v>1421</v>
      </c>
      <c r="QM8" t="s">
        <v>1421</v>
      </c>
      <c r="RC8" t="s">
        <v>1186</v>
      </c>
      <c r="RD8" t="s">
        <v>1186</v>
      </c>
      <c r="RF8" t="s">
        <v>1186</v>
      </c>
      <c r="RG8" t="s">
        <v>1186</v>
      </c>
      <c r="RI8" t="s">
        <v>1186</v>
      </c>
      <c r="RJ8" t="s">
        <v>1186</v>
      </c>
      <c r="RL8" t="s">
        <v>1186</v>
      </c>
      <c r="RM8" t="s">
        <v>1186</v>
      </c>
      <c r="RN8" t="s">
        <v>1186</v>
      </c>
      <c r="RU8" t="s">
        <v>1202</v>
      </c>
      <c r="RV8" t="str">
        <f t="shared" si="2"/>
        <v>CellularBlindProduct</v>
      </c>
      <c r="RW8" s="204" t="s">
        <v>1197</v>
      </c>
      <c r="SE8" s="436" t="s">
        <v>377</v>
      </c>
      <c r="SF8" s="436" t="s">
        <v>1221</v>
      </c>
      <c r="SG8" s="436" t="s">
        <v>2000</v>
      </c>
      <c r="SH8" s="436" t="s">
        <v>1222</v>
      </c>
      <c r="SI8" s="436" t="s">
        <v>1222</v>
      </c>
      <c r="SJ8" s="436" t="s">
        <v>1222</v>
      </c>
      <c r="SK8" s="436" t="s">
        <v>2004</v>
      </c>
      <c r="SS8" t="s">
        <v>1232</v>
      </c>
      <c r="TB8" s="39"/>
      <c r="UC8" s="436" t="s">
        <v>1274</v>
      </c>
      <c r="UD8" s="436" t="s">
        <v>1275</v>
      </c>
      <c r="UE8" s="436" t="s">
        <v>1258</v>
      </c>
      <c r="UF8" s="436" t="s">
        <v>1258</v>
      </c>
      <c r="UG8" s="35" t="s">
        <v>2020</v>
      </c>
      <c r="UO8" s="241" t="s">
        <v>1277</v>
      </c>
      <c r="US8" t="s">
        <v>1136</v>
      </c>
      <c r="UT8" t="s">
        <v>1202</v>
      </c>
      <c r="VD8" s="35" t="s">
        <v>2131</v>
      </c>
      <c r="VL8" s="245" t="s">
        <v>1202</v>
      </c>
      <c r="VM8" s="245" t="str">
        <f>VY1</f>
        <v>Clutch Standard 25mm Single</v>
      </c>
      <c r="VN8" s="245" t="str">
        <f>WJ1</f>
        <v>Clutch Standard 38mm Single</v>
      </c>
      <c r="VO8" s="245" t="str">
        <f>WJ47</f>
        <v>Clutch Standard 45mm Single</v>
      </c>
      <c r="VP8" s="245" t="str">
        <f>WJ83</f>
        <v>Clutch Standard 45mm Single Cell In A Cell</v>
      </c>
      <c r="VQ8" s="245" t="str">
        <f>WU1</f>
        <v>Clutch Standard 38mm Double</v>
      </c>
      <c r="VR8" t="s">
        <v>1186</v>
      </c>
      <c r="WD8" t="s">
        <v>1189</v>
      </c>
      <c r="WF8" t="s">
        <v>1189</v>
      </c>
      <c r="WG8" t="s">
        <v>1189</v>
      </c>
      <c r="WI8" t="s">
        <v>1189</v>
      </c>
      <c r="WJ8" t="s">
        <v>1189</v>
      </c>
      <c r="WL8" t="s">
        <v>1189</v>
      </c>
      <c r="WM8" t="s">
        <v>1189</v>
      </c>
      <c r="WN8" t="s">
        <v>1189</v>
      </c>
      <c r="XF8" s="436" t="s">
        <v>1275</v>
      </c>
      <c r="XG8" s="436" t="s">
        <v>1274</v>
      </c>
      <c r="XH8" s="436" t="s">
        <v>1939</v>
      </c>
      <c r="XI8" s="241" t="s">
        <v>1277</v>
      </c>
      <c r="XJ8" t="s">
        <v>2209</v>
      </c>
      <c r="YU8" t="s">
        <v>1202</v>
      </c>
      <c r="ZK8" s="199" t="s">
        <v>1202</v>
      </c>
      <c r="ZL8" s="199">
        <v>9</v>
      </c>
      <c r="ZM8" s="199">
        <v>300</v>
      </c>
      <c r="ZN8" s="199">
        <v>3000</v>
      </c>
      <c r="ZO8" s="199">
        <v>300</v>
      </c>
      <c r="ZP8" s="199">
        <v>3000</v>
      </c>
      <c r="ZQ8" s="199" t="s">
        <v>1202</v>
      </c>
      <c r="ZR8" s="199">
        <v>7.5</v>
      </c>
      <c r="ZS8" s="199">
        <v>300</v>
      </c>
      <c r="ZT8" s="199">
        <v>3000</v>
      </c>
      <c r="ZU8" s="199">
        <v>300</v>
      </c>
      <c r="ZV8" s="199">
        <v>2500</v>
      </c>
      <c r="ZW8" s="199" t="s">
        <v>1202</v>
      </c>
      <c r="ZX8" s="199">
        <v>7.5</v>
      </c>
      <c r="ZY8" s="199">
        <v>300</v>
      </c>
      <c r="ZZ8" s="199">
        <v>3000</v>
      </c>
      <c r="AAA8" s="199">
        <v>300</v>
      </c>
      <c r="AAB8" s="199">
        <v>2500</v>
      </c>
      <c r="AAC8" s="353" t="s">
        <v>1202</v>
      </c>
      <c r="AAD8" s="353">
        <v>9</v>
      </c>
      <c r="AAE8" s="353">
        <v>300</v>
      </c>
      <c r="AAF8" s="353">
        <v>3000</v>
      </c>
      <c r="AAG8" s="353">
        <v>300</v>
      </c>
      <c r="AAH8" s="199">
        <v>3000</v>
      </c>
      <c r="AAK8" t="s">
        <v>1092</v>
      </c>
      <c r="AAL8" t="str">
        <f t="shared" si="4"/>
        <v>Oval Bottom Rail 2</v>
      </c>
      <c r="AAM8" t="str">
        <f t="shared" si="3"/>
        <v>Sewn In Pocket</v>
      </c>
      <c r="ABB8" t="s">
        <v>1092</v>
      </c>
      <c r="ABC8">
        <v>9</v>
      </c>
      <c r="ABL8">
        <v>9</v>
      </c>
      <c r="ABM8" t="s">
        <v>1488</v>
      </c>
      <c r="ABW8">
        <v>9</v>
      </c>
      <c r="ABX8">
        <v>1600</v>
      </c>
      <c r="ABY8">
        <v>5500</v>
      </c>
    </row>
    <row r="9" spans="1:753" ht="15">
      <c r="L9" t="s">
        <v>115</v>
      </c>
      <c r="M9">
        <v>809</v>
      </c>
      <c r="N9" t="s">
        <v>8</v>
      </c>
      <c r="O9">
        <v>216932</v>
      </c>
      <c r="P9" t="s">
        <v>10</v>
      </c>
      <c r="Q9">
        <v>2278</v>
      </c>
      <c r="R9" t="s">
        <v>71</v>
      </c>
      <c r="S9" t="s">
        <v>29</v>
      </c>
      <c r="T9">
        <v>2165</v>
      </c>
      <c r="V9" s="1"/>
      <c r="Y9" t="s">
        <v>369</v>
      </c>
      <c r="AA9" s="35" t="s">
        <v>433</v>
      </c>
      <c r="AB9" t="s">
        <v>1150</v>
      </c>
      <c r="AF9" t="s">
        <v>341</v>
      </c>
      <c r="AJ9" t="s">
        <v>86</v>
      </c>
      <c r="AN9" t="s">
        <v>259</v>
      </c>
      <c r="AW9" s="36"/>
      <c r="BD9" t="s">
        <v>875</v>
      </c>
      <c r="BI9" t="s">
        <v>998</v>
      </c>
      <c r="BK9" t="s">
        <v>354</v>
      </c>
      <c r="BM9" t="s">
        <v>325</v>
      </c>
      <c r="CJ9" t="s">
        <v>388</v>
      </c>
      <c r="CX9" t="s">
        <v>608</v>
      </c>
      <c r="CY9" t="s">
        <v>609</v>
      </c>
      <c r="CZ9" t="s">
        <v>312</v>
      </c>
      <c r="DA9" t="s">
        <v>583</v>
      </c>
      <c r="DJ9" t="s">
        <v>433</v>
      </c>
      <c r="DK9" t="s">
        <v>433</v>
      </c>
      <c r="DN9" s="106"/>
      <c r="DO9" s="199" t="s">
        <v>498</v>
      </c>
      <c r="DP9" s="199">
        <v>3</v>
      </c>
      <c r="DQ9" s="199">
        <f t="shared" si="5"/>
        <v>1</v>
      </c>
      <c r="EJ9" t="s">
        <v>590</v>
      </c>
      <c r="EK9" t="s">
        <v>22</v>
      </c>
      <c r="EL9" t="s">
        <v>663</v>
      </c>
      <c r="EM9" t="s">
        <v>1771</v>
      </c>
      <c r="EN9" t="s">
        <v>1771</v>
      </c>
      <c r="EO9" t="s">
        <v>1771</v>
      </c>
      <c r="FA9" s="210" t="s">
        <v>558</v>
      </c>
      <c r="FB9" s="210" t="s">
        <v>69</v>
      </c>
      <c r="FC9" t="s">
        <v>319</v>
      </c>
      <c r="FD9" t="s">
        <v>22</v>
      </c>
      <c r="FF9" s="35" t="s">
        <v>832</v>
      </c>
      <c r="FG9" t="s">
        <v>319</v>
      </c>
      <c r="FH9" t="s">
        <v>319</v>
      </c>
      <c r="FJ9" t="s">
        <v>319</v>
      </c>
      <c r="FK9" t="s">
        <v>319</v>
      </c>
      <c r="FP9" t="s">
        <v>671</v>
      </c>
      <c r="HX9" t="s">
        <v>670</v>
      </c>
      <c r="IL9" t="s">
        <v>327</v>
      </c>
      <c r="IR9" t="s">
        <v>327</v>
      </c>
      <c r="IS9" t="s">
        <v>326</v>
      </c>
      <c r="IX9" s="210" t="s">
        <v>552</v>
      </c>
      <c r="KC9" s="210" t="s">
        <v>875</v>
      </c>
      <c r="KF9" t="s">
        <v>89</v>
      </c>
      <c r="KG9" t="s">
        <v>655</v>
      </c>
      <c r="KV9" t="s">
        <v>341</v>
      </c>
      <c r="LJ9" t="s">
        <v>511</v>
      </c>
      <c r="LK9">
        <v>1</v>
      </c>
      <c r="LX9" s="186" t="s">
        <v>889</v>
      </c>
      <c r="LY9" s="186" t="s">
        <v>932</v>
      </c>
      <c r="LZ9" s="186" t="s">
        <v>469</v>
      </c>
      <c r="MA9" s="186" t="s">
        <v>492</v>
      </c>
      <c r="MB9" s="186"/>
      <c r="NN9" t="s">
        <v>354</v>
      </c>
      <c r="NO9" s="36"/>
      <c r="NP9" s="36"/>
      <c r="NQ9" s="36"/>
      <c r="NR9" s="36"/>
      <c r="NS9" s="36"/>
      <c r="NT9" s="36"/>
      <c r="NU9" s="36"/>
      <c r="NV9" s="36"/>
      <c r="NW9" s="36"/>
      <c r="NX9" s="36"/>
      <c r="NY9" s="36"/>
      <c r="NZ9" s="36"/>
      <c r="OA9" s="36"/>
      <c r="OB9" s="36"/>
      <c r="OC9" s="36"/>
      <c r="OD9" s="36"/>
      <c r="OE9" s="36"/>
      <c r="PG9" t="s">
        <v>1125</v>
      </c>
      <c r="PH9" t="s">
        <v>1126</v>
      </c>
      <c r="QG9" t="s">
        <v>1166</v>
      </c>
      <c r="QK9" t="s">
        <v>1472</v>
      </c>
      <c r="RC9" t="s">
        <v>1190</v>
      </c>
      <c r="RD9" t="s">
        <v>1190</v>
      </c>
      <c r="RF9" t="s">
        <v>1190</v>
      </c>
      <c r="RG9" t="s">
        <v>1190</v>
      </c>
      <c r="RI9" t="s">
        <v>1190</v>
      </c>
      <c r="RJ9" t="s">
        <v>1190</v>
      </c>
      <c r="RL9" t="s">
        <v>1190</v>
      </c>
      <c r="RM9" t="s">
        <v>1190</v>
      </c>
      <c r="RN9" t="s">
        <v>1190</v>
      </c>
      <c r="RU9" t="s">
        <v>1214</v>
      </c>
      <c r="RV9" t="str">
        <f t="shared" si="2"/>
        <v>CellularBlindProduct</v>
      </c>
      <c r="SE9" s="436" t="s">
        <v>1220</v>
      </c>
      <c r="SF9" s="436" t="s">
        <v>1162</v>
      </c>
      <c r="SG9" s="436" t="s">
        <v>1991</v>
      </c>
      <c r="SH9" s="436" t="s">
        <v>1233</v>
      </c>
      <c r="SI9" s="436" t="s">
        <v>1234</v>
      </c>
      <c r="SJ9" s="436" t="s">
        <v>1234</v>
      </c>
      <c r="SK9" s="436" t="s">
        <v>1235</v>
      </c>
      <c r="SS9" t="s">
        <v>1234</v>
      </c>
      <c r="TB9" s="39"/>
      <c r="UC9" s="436" t="s">
        <v>1328</v>
      </c>
      <c r="UD9" s="436" t="s">
        <v>1276</v>
      </c>
      <c r="UE9" s="436" t="s">
        <v>2030</v>
      </c>
      <c r="UF9" s="436" t="s">
        <v>2030</v>
      </c>
      <c r="UG9" s="35" t="s">
        <v>2021</v>
      </c>
      <c r="UO9" s="241" t="s">
        <v>1278</v>
      </c>
      <c r="US9" t="s">
        <v>1137</v>
      </c>
      <c r="UT9" t="s">
        <v>1214</v>
      </c>
      <c r="VD9" s="35" t="s">
        <v>2132</v>
      </c>
      <c r="VL9" s="245" t="s">
        <v>1214</v>
      </c>
      <c r="VM9" s="245" t="str">
        <f>VZ1</f>
        <v>Clutch Day Night 25mm Single</v>
      </c>
      <c r="VN9" s="245" t="str">
        <f>WK1</f>
        <v>Clutch Day Night 38mm Single</v>
      </c>
      <c r="VO9" s="245" t="str">
        <f>WK47</f>
        <v>Clutch Day Night 45mm Single</v>
      </c>
      <c r="VP9" s="245" t="str">
        <f>WK83</f>
        <v>Clutch Day Night 45mm Single Cell In A Cell</v>
      </c>
      <c r="VQ9" s="245" t="str">
        <f>WV1</f>
        <v>Clutch Day Night 38mm Double</v>
      </c>
      <c r="VR9" t="s">
        <v>1190</v>
      </c>
      <c r="WD9" t="s">
        <v>1187</v>
      </c>
      <c r="WF9" t="s">
        <v>1187</v>
      </c>
      <c r="WG9" t="s">
        <v>1187</v>
      </c>
      <c r="WI9" t="s">
        <v>1187</v>
      </c>
      <c r="WJ9" t="s">
        <v>1187</v>
      </c>
      <c r="WL9" t="s">
        <v>1187</v>
      </c>
      <c r="WM9" t="s">
        <v>1187</v>
      </c>
      <c r="WN9" t="s">
        <v>1187</v>
      </c>
      <c r="XF9" s="436" t="s">
        <v>1276</v>
      </c>
      <c r="XG9" s="436" t="s">
        <v>1328</v>
      </c>
      <c r="XH9" s="436" t="s">
        <v>1940</v>
      </c>
      <c r="XI9" s="241" t="s">
        <v>1278</v>
      </c>
      <c r="XJ9" t="s">
        <v>2210</v>
      </c>
      <c r="YU9" t="s">
        <v>1214</v>
      </c>
      <c r="ZK9" s="199" t="s">
        <v>1214</v>
      </c>
      <c r="ZL9" s="206">
        <v>6.4</v>
      </c>
      <c r="ZM9" s="199">
        <v>570</v>
      </c>
      <c r="ZN9" s="199">
        <v>3000</v>
      </c>
      <c r="ZO9" s="199">
        <v>300</v>
      </c>
      <c r="ZP9" s="199">
        <v>3000</v>
      </c>
      <c r="ZQ9" s="199" t="s">
        <v>1214</v>
      </c>
      <c r="ZR9" s="206">
        <v>6.4</v>
      </c>
      <c r="ZS9" s="206">
        <v>570</v>
      </c>
      <c r="ZT9" s="206">
        <v>3000</v>
      </c>
      <c r="ZU9" s="199">
        <v>300</v>
      </c>
      <c r="ZV9" s="199">
        <v>2500</v>
      </c>
      <c r="ZW9" s="199" t="s">
        <v>1214</v>
      </c>
      <c r="ZX9" s="206">
        <v>6.4</v>
      </c>
      <c r="ZY9" s="206">
        <v>570</v>
      </c>
      <c r="ZZ9" s="199">
        <v>3000</v>
      </c>
      <c r="AAA9" s="199">
        <v>300</v>
      </c>
      <c r="AAB9" s="199">
        <v>2500</v>
      </c>
      <c r="AAC9" s="353" t="s">
        <v>1214</v>
      </c>
      <c r="AAD9" s="353">
        <v>6.4</v>
      </c>
      <c r="AAE9" s="353">
        <v>570</v>
      </c>
      <c r="AAF9" s="353">
        <v>3000</v>
      </c>
      <c r="AAG9" s="353">
        <v>300</v>
      </c>
      <c r="AAH9" s="199">
        <v>3000</v>
      </c>
      <c r="AAK9" t="s">
        <v>1161</v>
      </c>
      <c r="AAL9" t="str">
        <f t="shared" si="4"/>
        <v>Oval Bottom Rail 2</v>
      </c>
      <c r="AAM9" t="str">
        <f t="shared" si="3"/>
        <v>Sewn In Pocket</v>
      </c>
      <c r="ABB9" t="s">
        <v>1093</v>
      </c>
      <c r="ABW9">
        <v>9</v>
      </c>
      <c r="ABX9">
        <v>1600</v>
      </c>
      <c r="ABY9">
        <v>5500</v>
      </c>
    </row>
    <row r="10" spans="1:753" ht="15">
      <c r="L10" t="s">
        <v>116</v>
      </c>
      <c r="M10">
        <v>814</v>
      </c>
      <c r="N10" t="s">
        <v>4</v>
      </c>
      <c r="O10">
        <v>216977</v>
      </c>
      <c r="P10" t="s">
        <v>11</v>
      </c>
      <c r="Q10">
        <v>2280</v>
      </c>
      <c r="R10" t="s">
        <v>73</v>
      </c>
      <c r="S10" t="s">
        <v>23</v>
      </c>
      <c r="T10">
        <v>2166</v>
      </c>
      <c r="V10" s="1"/>
      <c r="AA10" s="35" t="s">
        <v>443</v>
      </c>
      <c r="AB10" t="s">
        <v>1146</v>
      </c>
      <c r="AF10" t="s">
        <v>342</v>
      </c>
      <c r="AJ10" t="s">
        <v>89</v>
      </c>
      <c r="AN10" t="s">
        <v>260</v>
      </c>
      <c r="AW10" s="36"/>
      <c r="BD10" t="s">
        <v>552</v>
      </c>
      <c r="BK10" t="s">
        <v>319</v>
      </c>
      <c r="BM10" t="s">
        <v>327</v>
      </c>
      <c r="CJ10" t="s">
        <v>393</v>
      </c>
      <c r="CW10" s="210" t="s">
        <v>1541</v>
      </c>
      <c r="CX10" s="210" t="s">
        <v>1085</v>
      </c>
      <c r="CY10" s="210" t="s">
        <v>1085</v>
      </c>
      <c r="CZ10" s="210" t="s">
        <v>1085</v>
      </c>
      <c r="DA10" s="210" t="s">
        <v>1085</v>
      </c>
      <c r="DJ10" t="s">
        <v>443</v>
      </c>
      <c r="DK10" t="s">
        <v>443</v>
      </c>
      <c r="DN10" s="106"/>
      <c r="DO10" s="199" t="s">
        <v>510</v>
      </c>
      <c r="DP10" s="199">
        <v>3</v>
      </c>
      <c r="DQ10" s="199">
        <f t="shared" si="5"/>
        <v>1</v>
      </c>
      <c r="EJ10" t="s">
        <v>591</v>
      </c>
      <c r="EK10" t="s">
        <v>22</v>
      </c>
      <c r="EL10" t="s">
        <v>663</v>
      </c>
      <c r="EM10" t="s">
        <v>823</v>
      </c>
      <c r="EN10" t="s">
        <v>823</v>
      </c>
      <c r="EO10" t="s">
        <v>823</v>
      </c>
      <c r="FA10" s="210" t="s">
        <v>559</v>
      </c>
      <c r="FB10" s="210" t="s">
        <v>69</v>
      </c>
      <c r="FC10" t="s">
        <v>320</v>
      </c>
      <c r="FD10" t="s">
        <v>22</v>
      </c>
      <c r="FF10" t="s">
        <v>309</v>
      </c>
      <c r="FG10" t="s">
        <v>320</v>
      </c>
      <c r="FH10" t="s">
        <v>320</v>
      </c>
      <c r="FJ10" t="s">
        <v>320</v>
      </c>
      <c r="FK10" t="s">
        <v>320</v>
      </c>
      <c r="FP10" t="s">
        <v>672</v>
      </c>
      <c r="HX10" t="s">
        <v>671</v>
      </c>
      <c r="IL10" t="s">
        <v>326</v>
      </c>
      <c r="IR10" t="s">
        <v>326</v>
      </c>
      <c r="IS10" t="s">
        <v>322</v>
      </c>
      <c r="IX10" s="210" t="s">
        <v>559</v>
      </c>
      <c r="KC10" s="210" t="s">
        <v>552</v>
      </c>
      <c r="KV10" t="s">
        <v>342</v>
      </c>
      <c r="LJ10" t="s">
        <v>512</v>
      </c>
      <c r="LK10">
        <v>1</v>
      </c>
      <c r="LX10" s="186" t="s">
        <v>890</v>
      </c>
      <c r="LY10" s="186" t="s">
        <v>928</v>
      </c>
      <c r="LZ10" s="186" t="s">
        <v>470</v>
      </c>
      <c r="MA10" s="186" t="s">
        <v>493</v>
      </c>
      <c r="MB10" s="186"/>
      <c r="NN10" t="s">
        <v>319</v>
      </c>
      <c r="NO10" s="36"/>
      <c r="NP10" s="36"/>
      <c r="NQ10" s="36"/>
      <c r="NR10" s="36"/>
      <c r="NS10" s="36"/>
      <c r="NT10" s="36"/>
      <c r="NU10" s="36"/>
      <c r="NV10" s="36"/>
      <c r="NW10" s="36"/>
      <c r="NX10" s="36"/>
      <c r="NY10" s="36"/>
      <c r="NZ10" s="36"/>
      <c r="OA10" s="36"/>
      <c r="OB10" s="36"/>
      <c r="OC10" s="36"/>
      <c r="OD10" s="36"/>
      <c r="OE10" s="36"/>
      <c r="PG10" t="s">
        <v>1127</v>
      </c>
      <c r="QK10" t="s">
        <v>1500</v>
      </c>
      <c r="QL10" t="s">
        <v>1415</v>
      </c>
      <c r="RC10" t="s">
        <v>1215</v>
      </c>
      <c r="RU10" t="s">
        <v>1182</v>
      </c>
      <c r="RV10" t="str">
        <f t="shared" si="2"/>
        <v>CellularBlindProduct</v>
      </c>
      <c r="SE10" s="436" t="s">
        <v>1991</v>
      </c>
      <c r="SF10" s="436" t="s">
        <v>1232</v>
      </c>
      <c r="SG10" s="436" t="s">
        <v>1221</v>
      </c>
      <c r="SH10" s="436" t="s">
        <v>1234</v>
      </c>
      <c r="SI10" s="436" t="s">
        <v>1239</v>
      </c>
      <c r="SJ10" s="436" t="s">
        <v>1239</v>
      </c>
      <c r="SK10" s="436" t="s">
        <v>1228</v>
      </c>
      <c r="SS10" t="s">
        <v>1235</v>
      </c>
      <c r="TB10" s="39"/>
      <c r="UA10" s="207" t="s">
        <v>1215</v>
      </c>
      <c r="UC10" s="436" t="s">
        <v>2007</v>
      </c>
      <c r="UD10" s="436" t="s">
        <v>1277</v>
      </c>
      <c r="UE10" s="436" t="s">
        <v>2031</v>
      </c>
      <c r="UF10" s="436" t="s">
        <v>2031</v>
      </c>
      <c r="UG10" s="35" t="s">
        <v>1311</v>
      </c>
      <c r="UO10" s="241" t="s">
        <v>1279</v>
      </c>
      <c r="US10" t="s">
        <v>1138</v>
      </c>
      <c r="UT10" t="s">
        <v>1182</v>
      </c>
      <c r="VD10" s="35" t="s">
        <v>2133</v>
      </c>
      <c r="VL10" s="245" t="s">
        <v>1182</v>
      </c>
      <c r="VM10" s="245" t="str">
        <f>WA1</f>
        <v>Clutch Top Down Bottom Up 25mm Single</v>
      </c>
      <c r="VN10" s="245" t="str">
        <f>WL1</f>
        <v>Clutch Top Down Bottom Up 38mm Single</v>
      </c>
      <c r="VO10" s="245" t="str">
        <f>WL47</f>
        <v>Clutch Top Down Bottom Up 45mm Single</v>
      </c>
      <c r="VP10" s="245" t="str">
        <f>WL83</f>
        <v>Clutch Top Down Bottom Up 45mm Single Cell In A Cell</v>
      </c>
      <c r="VQ10" s="245" t="str">
        <f>WW1</f>
        <v>Clutch Top Down Bottom Up 38mm Double</v>
      </c>
      <c r="WD10" t="s">
        <v>1188</v>
      </c>
      <c r="WF10" t="s">
        <v>1188</v>
      </c>
      <c r="WG10" t="s">
        <v>1188</v>
      </c>
      <c r="WI10" t="s">
        <v>1188</v>
      </c>
      <c r="WJ10" t="s">
        <v>1188</v>
      </c>
      <c r="WL10" t="s">
        <v>1188</v>
      </c>
      <c r="WM10" t="s">
        <v>1188</v>
      </c>
      <c r="WN10" t="s">
        <v>1188</v>
      </c>
      <c r="XF10" s="436" t="s">
        <v>1277</v>
      </c>
      <c r="XG10" s="436" t="s">
        <v>2007</v>
      </c>
      <c r="XH10" s="436" t="s">
        <v>1941</v>
      </c>
      <c r="XI10" s="241" t="s">
        <v>1279</v>
      </c>
      <c r="XJ10" t="s">
        <v>2211</v>
      </c>
      <c r="YU10" t="s">
        <v>1182</v>
      </c>
      <c r="ZK10" s="199" t="s">
        <v>1182</v>
      </c>
      <c r="ZL10" s="206">
        <v>7.32</v>
      </c>
      <c r="ZM10" s="199">
        <v>570</v>
      </c>
      <c r="ZN10" s="199">
        <v>3000</v>
      </c>
      <c r="ZO10" s="199">
        <v>300</v>
      </c>
      <c r="ZP10" s="199">
        <v>3000</v>
      </c>
      <c r="ZQ10" s="199" t="s">
        <v>1182</v>
      </c>
      <c r="ZR10" s="206">
        <v>7.32</v>
      </c>
      <c r="ZS10" s="206">
        <v>570</v>
      </c>
      <c r="ZT10" s="206">
        <v>3000</v>
      </c>
      <c r="ZU10" s="199">
        <v>300</v>
      </c>
      <c r="ZV10" s="199">
        <v>2500</v>
      </c>
      <c r="ZW10" s="199" t="s">
        <v>1182</v>
      </c>
      <c r="ZX10" s="206">
        <v>7.32</v>
      </c>
      <c r="ZY10" s="206">
        <v>570</v>
      </c>
      <c r="ZZ10" s="199">
        <v>3000</v>
      </c>
      <c r="AAA10" s="199">
        <v>300</v>
      </c>
      <c r="AAB10" s="199">
        <v>2500</v>
      </c>
      <c r="AAC10" s="199" t="s">
        <v>1182</v>
      </c>
      <c r="AAD10" s="199">
        <v>7.32</v>
      </c>
      <c r="AAE10" s="199">
        <v>570</v>
      </c>
      <c r="AAF10" s="353">
        <v>3000</v>
      </c>
      <c r="AAG10" s="353">
        <v>300</v>
      </c>
      <c r="AAH10" s="199">
        <v>3000</v>
      </c>
      <c r="AAK10" t="s">
        <v>214</v>
      </c>
      <c r="AAL10" s="35" t="str">
        <f>$CS$2</f>
        <v>Oval Bottom Rail</v>
      </c>
      <c r="AAM10" t="str">
        <f t="shared" si="3"/>
        <v>Sewn In Pocket</v>
      </c>
      <c r="ABB10" t="s">
        <v>1130</v>
      </c>
    </row>
    <row r="11" spans="1:753" ht="15">
      <c r="L11" t="s">
        <v>117</v>
      </c>
      <c r="M11">
        <v>816</v>
      </c>
      <c r="N11" t="s">
        <v>5</v>
      </c>
      <c r="O11">
        <v>216978</v>
      </c>
      <c r="P11" t="s">
        <v>12</v>
      </c>
      <c r="Q11">
        <v>2281</v>
      </c>
      <c r="R11" t="s">
        <v>75</v>
      </c>
      <c r="S11" t="s">
        <v>24</v>
      </c>
      <c r="T11">
        <v>2177</v>
      </c>
      <c r="V11" s="1"/>
      <c r="AA11" s="35" t="s">
        <v>432</v>
      </c>
      <c r="AB11" t="s">
        <v>1147</v>
      </c>
      <c r="AF11" t="s">
        <v>343</v>
      </c>
      <c r="AN11" t="s">
        <v>261</v>
      </c>
      <c r="AW11" s="36"/>
      <c r="BD11" t="s">
        <v>559</v>
      </c>
      <c r="BK11" t="s">
        <v>320</v>
      </c>
      <c r="BM11" t="s">
        <v>326</v>
      </c>
      <c r="CW11" t="s">
        <v>872</v>
      </c>
      <c r="CX11" t="s">
        <v>417</v>
      </c>
      <c r="CY11" t="s">
        <v>418</v>
      </c>
      <c r="CZ11" t="s">
        <v>417</v>
      </c>
      <c r="DA11" t="s">
        <v>417</v>
      </c>
      <c r="DJ11" t="s">
        <v>432</v>
      </c>
      <c r="DK11" t="s">
        <v>432</v>
      </c>
      <c r="DN11" s="106"/>
      <c r="DO11" s="199" t="s">
        <v>511</v>
      </c>
      <c r="DP11" s="199">
        <v>3</v>
      </c>
      <c r="DQ11" s="199">
        <f t="shared" si="5"/>
        <v>1</v>
      </c>
      <c r="EJ11" t="s">
        <v>592</v>
      </c>
      <c r="EK11" t="s">
        <v>22</v>
      </c>
      <c r="EL11" t="s">
        <v>657</v>
      </c>
      <c r="EM11" t="s">
        <v>601</v>
      </c>
      <c r="EN11" t="s">
        <v>601</v>
      </c>
      <c r="EO11" t="s">
        <v>601</v>
      </c>
      <c r="FA11" s="210" t="s">
        <v>560</v>
      </c>
      <c r="FB11" s="210" t="s">
        <v>69</v>
      </c>
      <c r="FC11" t="s">
        <v>310</v>
      </c>
      <c r="FD11" t="s">
        <v>22</v>
      </c>
      <c r="FF11" t="s">
        <v>868</v>
      </c>
      <c r="FG11" t="s">
        <v>310</v>
      </c>
      <c r="FH11" t="s">
        <v>310</v>
      </c>
      <c r="FJ11" t="s">
        <v>310</v>
      </c>
      <c r="FK11" t="s">
        <v>310</v>
      </c>
      <c r="FP11" t="s">
        <v>673</v>
      </c>
      <c r="HX11" t="s">
        <v>672</v>
      </c>
      <c r="IL11" t="s">
        <v>322</v>
      </c>
      <c r="IR11" t="s">
        <v>322</v>
      </c>
      <c r="IX11" s="210"/>
      <c r="KC11" t="s">
        <v>559</v>
      </c>
      <c r="KV11" t="s">
        <v>343</v>
      </c>
      <c r="LJ11" t="s">
        <v>513</v>
      </c>
      <c r="LK11">
        <v>1</v>
      </c>
      <c r="LX11" s="186" t="s">
        <v>891</v>
      </c>
      <c r="LY11" s="234" t="s">
        <v>1075</v>
      </c>
      <c r="LZ11" s="186" t="s">
        <v>521</v>
      </c>
      <c r="MA11" s="186" t="s">
        <v>517</v>
      </c>
      <c r="MB11" s="186"/>
      <c r="NN11" t="s">
        <v>320</v>
      </c>
      <c r="NO11" s="36"/>
      <c r="NP11" s="36"/>
      <c r="NQ11" s="36"/>
      <c r="NR11" s="36"/>
      <c r="NS11" s="36"/>
      <c r="NT11" s="36"/>
      <c r="NU11" s="36"/>
      <c r="NV11" s="36"/>
      <c r="NW11" s="36"/>
      <c r="NX11" s="36"/>
      <c r="NY11" s="36"/>
      <c r="NZ11" s="36"/>
      <c r="OA11" s="36"/>
      <c r="OB11" s="36"/>
      <c r="OC11" s="36"/>
      <c r="OD11" s="36"/>
      <c r="OE11" s="36"/>
      <c r="PG11" t="s">
        <v>1115</v>
      </c>
      <c r="QK11" t="s">
        <v>1501</v>
      </c>
      <c r="RU11" t="s">
        <v>2035</v>
      </c>
      <c r="RV11" t="str">
        <f t="shared" si="2"/>
        <v>CellularBlindProduct</v>
      </c>
      <c r="SE11" s="436" t="s">
        <v>1221</v>
      </c>
      <c r="SF11" s="436" t="s">
        <v>1222</v>
      </c>
      <c r="SG11" s="436" t="s">
        <v>1162</v>
      </c>
      <c r="SH11" s="436" t="s">
        <v>1223</v>
      </c>
      <c r="SI11" s="436" t="s">
        <v>1227</v>
      </c>
      <c r="SJ11" s="436" t="s">
        <v>1227</v>
      </c>
      <c r="SK11" s="436" t="s">
        <v>1226</v>
      </c>
      <c r="SS11" t="s">
        <v>1223</v>
      </c>
      <c r="TB11" s="39"/>
      <c r="TZ11" s="207" t="s">
        <v>1174</v>
      </c>
      <c r="UA11" s="199" t="str">
        <f>$XF$1</f>
        <v>Cellular Colour 2 25mm Single Cellular Blind</v>
      </c>
      <c r="UC11" s="436" t="s">
        <v>1275</v>
      </c>
      <c r="UD11" s="436" t="s">
        <v>1329</v>
      </c>
      <c r="UE11" s="436" t="s">
        <v>1259</v>
      </c>
      <c r="UF11" s="436" t="s">
        <v>1259</v>
      </c>
      <c r="UG11" s="35" t="s">
        <v>2022</v>
      </c>
      <c r="UO11" s="241" t="s">
        <v>1280</v>
      </c>
      <c r="US11" t="s">
        <v>1139</v>
      </c>
      <c r="UT11" t="s">
        <v>2035</v>
      </c>
      <c r="VD11" s="35" t="s">
        <v>2134</v>
      </c>
      <c r="VL11" s="245" t="s">
        <v>2035</v>
      </c>
      <c r="VM11" s="245" t="str">
        <f>VY25</f>
        <v>Motorised Standard 25mm Single</v>
      </c>
      <c r="VN11" s="245" t="str">
        <f>$WJ$25</f>
        <v>Motorised Standard 38mm Single</v>
      </c>
      <c r="VO11" s="245" t="str">
        <f>WJ100</f>
        <v>Motorised Standard 45mm Single</v>
      </c>
      <c r="VP11" s="245" t="str">
        <f>WJ126</f>
        <v>Motorised Standard 45mm Single Cell In A Cell</v>
      </c>
      <c r="VQ11" s="245" t="str">
        <f>WU25</f>
        <v>Motorised Standard 38mm Double</v>
      </c>
      <c r="WD11" s="178" t="s">
        <v>1856</v>
      </c>
      <c r="WF11" t="s">
        <v>1856</v>
      </c>
      <c r="WG11" t="s">
        <v>1856</v>
      </c>
      <c r="WI11" t="s">
        <v>1856</v>
      </c>
      <c r="WJ11" t="s">
        <v>1856</v>
      </c>
      <c r="WL11" t="s">
        <v>1856</v>
      </c>
      <c r="WM11" t="s">
        <v>1856</v>
      </c>
      <c r="WN11" t="s">
        <v>1856</v>
      </c>
      <c r="XF11" s="436" t="s">
        <v>1329</v>
      </c>
      <c r="XG11" s="436" t="s">
        <v>1275</v>
      </c>
      <c r="XH11" s="436" t="s">
        <v>1942</v>
      </c>
      <c r="XI11" s="241" t="s">
        <v>1280</v>
      </c>
      <c r="XJ11" t="s">
        <v>2212</v>
      </c>
      <c r="YU11" t="s">
        <v>2035</v>
      </c>
      <c r="ZF11" t="s">
        <v>2189</v>
      </c>
      <c r="ZG11" t="s">
        <v>2188</v>
      </c>
      <c r="ZK11" s="199" t="s">
        <v>2035</v>
      </c>
      <c r="ZL11" s="199">
        <v>9</v>
      </c>
      <c r="ZM11" s="199">
        <v>620</v>
      </c>
      <c r="ZN11" s="199">
        <v>3000</v>
      </c>
      <c r="ZO11" s="199">
        <v>300</v>
      </c>
      <c r="ZP11" s="199">
        <v>3000</v>
      </c>
      <c r="ZQ11" s="199" t="s">
        <v>2035</v>
      </c>
      <c r="ZR11" s="199">
        <v>7.5</v>
      </c>
      <c r="ZS11" s="199">
        <v>620</v>
      </c>
      <c r="ZT11" s="199">
        <v>3000</v>
      </c>
      <c r="ZU11" s="199">
        <v>300</v>
      </c>
      <c r="ZV11" s="199">
        <v>2500</v>
      </c>
      <c r="ZW11" s="199" t="s">
        <v>2035</v>
      </c>
      <c r="ZX11" s="199">
        <v>7</v>
      </c>
      <c r="ZY11" s="199">
        <v>620</v>
      </c>
      <c r="ZZ11" s="199">
        <v>3000</v>
      </c>
      <c r="AAA11" s="199">
        <v>300</v>
      </c>
      <c r="AAB11" s="199">
        <v>2500</v>
      </c>
      <c r="AAC11" s="199" t="s">
        <v>2035</v>
      </c>
      <c r="AAD11" s="199">
        <v>9</v>
      </c>
      <c r="AAE11" s="199">
        <v>620</v>
      </c>
      <c r="AAF11" s="353">
        <v>3000</v>
      </c>
      <c r="AAG11" s="353">
        <v>300</v>
      </c>
      <c r="AAH11" s="199">
        <v>3000</v>
      </c>
      <c r="AAK11" t="s">
        <v>1093</v>
      </c>
      <c r="AAL11" t="str">
        <f t="shared" ref="AAL11:AAL15" si="6">$CS$17</f>
        <v>Oval Bottom Rail 2</v>
      </c>
      <c r="AAM11" t="str">
        <f t="shared" si="3"/>
        <v>Sewn In Pocket</v>
      </c>
      <c r="ABB11" t="s">
        <v>1141</v>
      </c>
    </row>
    <row r="12" spans="1:753" ht="15">
      <c r="L12" t="s">
        <v>49</v>
      </c>
      <c r="M12">
        <v>817</v>
      </c>
      <c r="N12" t="s">
        <v>6</v>
      </c>
      <c r="O12">
        <v>216979</v>
      </c>
      <c r="P12" t="s">
        <v>13</v>
      </c>
      <c r="Q12">
        <v>2294</v>
      </c>
      <c r="R12" t="s">
        <v>77</v>
      </c>
      <c r="S12" t="s">
        <v>78</v>
      </c>
      <c r="T12">
        <v>2178</v>
      </c>
      <c r="V12" s="1"/>
      <c r="AA12" s="35" t="s">
        <v>435</v>
      </c>
      <c r="AF12" t="s">
        <v>344</v>
      </c>
      <c r="AN12" t="s">
        <v>262</v>
      </c>
      <c r="AW12" s="36"/>
      <c r="BK12" t="s">
        <v>310</v>
      </c>
      <c r="BM12" t="s">
        <v>322</v>
      </c>
      <c r="CW12" t="s">
        <v>873</v>
      </c>
      <c r="CX12" s="327" t="s">
        <v>1085</v>
      </c>
      <c r="CY12" s="327" t="s">
        <v>1085</v>
      </c>
      <c r="CZ12" s="327" t="s">
        <v>1085</v>
      </c>
      <c r="DA12" s="327" t="s">
        <v>1085</v>
      </c>
      <c r="DJ12" t="s">
        <v>435</v>
      </c>
      <c r="DK12" t="s">
        <v>435</v>
      </c>
      <c r="DN12" s="106"/>
      <c r="DO12" s="199" t="s">
        <v>512</v>
      </c>
      <c r="DP12" s="199">
        <v>3</v>
      </c>
      <c r="DQ12" s="199">
        <f t="shared" si="5"/>
        <v>1</v>
      </c>
      <c r="EJ12" t="s">
        <v>593</v>
      </c>
      <c r="EK12" t="s">
        <v>22</v>
      </c>
      <c r="EL12" t="s">
        <v>657</v>
      </c>
      <c r="EM12" t="s">
        <v>597</v>
      </c>
      <c r="EN12" t="s">
        <v>597</v>
      </c>
      <c r="EO12" t="s">
        <v>597</v>
      </c>
      <c r="FA12" s="210" t="s">
        <v>561</v>
      </c>
      <c r="FB12" s="210" t="s">
        <v>69</v>
      </c>
      <c r="FC12" t="s">
        <v>309</v>
      </c>
      <c r="FD12" t="s">
        <v>22</v>
      </c>
      <c r="FF12" t="s">
        <v>869</v>
      </c>
      <c r="FG12" t="s">
        <v>309</v>
      </c>
      <c r="FH12" t="s">
        <v>309</v>
      </c>
      <c r="FJ12" t="s">
        <v>309</v>
      </c>
      <c r="FK12" t="s">
        <v>309</v>
      </c>
      <c r="FP12" t="s">
        <v>674</v>
      </c>
      <c r="GS12" s="327" t="s">
        <v>1784</v>
      </c>
      <c r="GX12" s="327" t="s">
        <v>1785</v>
      </c>
      <c r="HX12" t="s">
        <v>758</v>
      </c>
      <c r="IX12" s="210"/>
      <c r="KV12" t="s">
        <v>344</v>
      </c>
      <c r="LJ12" t="s">
        <v>514</v>
      </c>
      <c r="LK12">
        <v>1</v>
      </c>
      <c r="LX12" s="186" t="s">
        <v>481</v>
      </c>
      <c r="LY12" s="234" t="s">
        <v>1076</v>
      </c>
      <c r="LZ12" s="186" t="s">
        <v>471</v>
      </c>
      <c r="MA12" s="186" t="s">
        <v>506</v>
      </c>
      <c r="MB12" s="186"/>
      <c r="NN12" t="s">
        <v>310</v>
      </c>
      <c r="NO12" s="36"/>
      <c r="NP12" s="36"/>
      <c r="NQ12" s="36"/>
      <c r="NR12" s="36"/>
      <c r="NS12" s="36"/>
      <c r="NT12" s="36"/>
      <c r="NU12" s="36"/>
      <c r="NV12" s="36"/>
      <c r="NW12" s="36"/>
      <c r="NX12" s="36"/>
      <c r="NY12" s="36"/>
      <c r="NZ12" s="36"/>
      <c r="OA12" s="36"/>
      <c r="OB12" s="36"/>
      <c r="OC12" s="36"/>
      <c r="OD12" s="36"/>
      <c r="OE12" s="36"/>
      <c r="PG12" t="s">
        <v>1128</v>
      </c>
      <c r="RU12" t="s">
        <v>2036</v>
      </c>
      <c r="RV12" t="str">
        <f t="shared" si="2"/>
        <v>CellularBlindProduct</v>
      </c>
      <c r="SE12" s="436" t="s">
        <v>1162</v>
      </c>
      <c r="SF12" s="436" t="s">
        <v>1234</v>
      </c>
      <c r="SG12" s="436" t="s">
        <v>2001</v>
      </c>
      <c r="SH12" s="436" t="s">
        <v>1236</v>
      </c>
      <c r="SS12" t="s">
        <v>1237</v>
      </c>
      <c r="TZ12" s="207" t="s">
        <v>1175</v>
      </c>
      <c r="UA12" s="199" t="str">
        <f>$XG$1</f>
        <v>Cellular Colour 2 38mm Single Cellular Blind</v>
      </c>
      <c r="UC12" s="436" t="s">
        <v>1276</v>
      </c>
      <c r="UD12" s="436" t="s">
        <v>1278</v>
      </c>
      <c r="UO12" s="241" t="s">
        <v>1281</v>
      </c>
      <c r="UT12" t="s">
        <v>2036</v>
      </c>
      <c r="VD12" s="35" t="s">
        <v>2135</v>
      </c>
      <c r="VL12" t="s">
        <v>2177</v>
      </c>
      <c r="VM12" s="245"/>
      <c r="VN12" s="245" t="str">
        <f>$WJ$25</f>
        <v>Motorised Standard 38mm Single</v>
      </c>
      <c r="VO12" s="245"/>
      <c r="VP12" s="245"/>
      <c r="VQ12" s="245"/>
      <c r="WD12" s="178" t="s">
        <v>1857</v>
      </c>
      <c r="WF12" t="s">
        <v>1857</v>
      </c>
      <c r="WG12" t="s">
        <v>1857</v>
      </c>
      <c r="WI12" t="s">
        <v>1857</v>
      </c>
      <c r="WJ12" t="s">
        <v>1857</v>
      </c>
      <c r="WL12" t="s">
        <v>1857</v>
      </c>
      <c r="WM12" t="s">
        <v>1857</v>
      </c>
      <c r="WN12" t="s">
        <v>1857</v>
      </c>
      <c r="XF12" s="436" t="s">
        <v>1278</v>
      </c>
      <c r="XG12" s="436" t="s">
        <v>1276</v>
      </c>
      <c r="XH12" s="436" t="s">
        <v>2215</v>
      </c>
      <c r="XI12" s="241" t="s">
        <v>1281</v>
      </c>
      <c r="YU12" t="s">
        <v>2036</v>
      </c>
      <c r="ZF12" t="s">
        <v>332</v>
      </c>
      <c r="ZG12" t="s">
        <v>25</v>
      </c>
      <c r="ZK12" s="199" t="s">
        <v>2036</v>
      </c>
      <c r="ZL12" s="199">
        <v>7</v>
      </c>
      <c r="ZM12" s="199">
        <v>850</v>
      </c>
      <c r="ZN12" s="199">
        <v>3000</v>
      </c>
      <c r="ZO12" s="199">
        <v>300</v>
      </c>
      <c r="ZP12" s="199">
        <v>3000</v>
      </c>
      <c r="ZQ12" s="199" t="s">
        <v>2036</v>
      </c>
      <c r="ZR12" s="199">
        <v>7</v>
      </c>
      <c r="ZS12" s="199">
        <v>820</v>
      </c>
      <c r="ZT12" s="199">
        <v>3000</v>
      </c>
      <c r="ZU12" s="199">
        <v>300</v>
      </c>
      <c r="ZV12" s="199">
        <v>2500</v>
      </c>
      <c r="ZW12" s="199" t="s">
        <v>2036</v>
      </c>
      <c r="ZX12" s="199">
        <v>4.5</v>
      </c>
      <c r="ZY12" s="199">
        <v>850</v>
      </c>
      <c r="ZZ12" s="199">
        <v>3000</v>
      </c>
      <c r="AAA12" s="199">
        <v>300</v>
      </c>
      <c r="AAB12" s="199">
        <v>2500</v>
      </c>
      <c r="AAC12" s="199" t="s">
        <v>2036</v>
      </c>
      <c r="AAD12" s="199">
        <v>7</v>
      </c>
      <c r="AAE12" s="199">
        <v>850</v>
      </c>
      <c r="AAF12" s="353">
        <v>3000</v>
      </c>
      <c r="AAG12" s="353">
        <v>300</v>
      </c>
      <c r="AAH12" s="199">
        <v>3000</v>
      </c>
      <c r="AAK12" t="s">
        <v>1130</v>
      </c>
      <c r="AAL12" t="str">
        <f t="shared" si="6"/>
        <v>Oval Bottom Rail 2</v>
      </c>
      <c r="AAM12" t="str">
        <f t="shared" si="3"/>
        <v>Sewn In Pocket</v>
      </c>
      <c r="ABB12" t="s">
        <v>215</v>
      </c>
    </row>
    <row r="13" spans="1:753" ht="15">
      <c r="L13" t="s">
        <v>118</v>
      </c>
      <c r="M13">
        <v>818</v>
      </c>
      <c r="N13" t="s">
        <v>7</v>
      </c>
      <c r="O13">
        <v>216980</v>
      </c>
      <c r="P13" t="s">
        <v>14</v>
      </c>
      <c r="Q13">
        <v>2299</v>
      </c>
      <c r="R13" t="s">
        <v>79</v>
      </c>
      <c r="S13" t="s">
        <v>80</v>
      </c>
      <c r="T13">
        <v>2179</v>
      </c>
      <c r="V13" s="1"/>
      <c r="AA13" s="35" t="s">
        <v>442</v>
      </c>
      <c r="AF13" t="s">
        <v>345</v>
      </c>
      <c r="AN13" t="s">
        <v>263</v>
      </c>
      <c r="AW13" s="36"/>
      <c r="BK13" t="s">
        <v>309</v>
      </c>
      <c r="CW13" s="327" t="s">
        <v>1774</v>
      </c>
      <c r="CX13" t="s">
        <v>1085</v>
      </c>
      <c r="CY13" t="s">
        <v>1085</v>
      </c>
      <c r="CZ13" t="s">
        <v>1085</v>
      </c>
      <c r="DA13" t="s">
        <v>1085</v>
      </c>
      <c r="DJ13" t="s">
        <v>442</v>
      </c>
      <c r="DK13" t="s">
        <v>442</v>
      </c>
      <c r="DN13" s="106"/>
      <c r="DO13" s="199" t="s">
        <v>513</v>
      </c>
      <c r="DP13" s="199">
        <v>3</v>
      </c>
      <c r="DQ13" s="199">
        <f t="shared" si="5"/>
        <v>1</v>
      </c>
      <c r="EJ13" t="s">
        <v>594</v>
      </c>
      <c r="EK13" t="s">
        <v>22</v>
      </c>
      <c r="EL13" t="s">
        <v>663</v>
      </c>
      <c r="EM13" t="s">
        <v>602</v>
      </c>
      <c r="EN13" t="s">
        <v>602</v>
      </c>
      <c r="EO13" t="s">
        <v>602</v>
      </c>
      <c r="FA13" s="210" t="s">
        <v>562</v>
      </c>
      <c r="FB13" s="210" t="s">
        <v>69</v>
      </c>
      <c r="FC13" t="s">
        <v>311</v>
      </c>
      <c r="FD13" t="s">
        <v>22</v>
      </c>
      <c r="FF13" s="327" t="s">
        <v>1783</v>
      </c>
      <c r="FJ13" s="241" t="s">
        <v>1526</v>
      </c>
      <c r="FK13" s="241" t="s">
        <v>1526</v>
      </c>
      <c r="FN13" t="s">
        <v>316</v>
      </c>
      <c r="FP13" t="s">
        <v>675</v>
      </c>
      <c r="FZ13" t="s">
        <v>1533</v>
      </c>
      <c r="GS13" s="327" t="s">
        <v>227</v>
      </c>
      <c r="GX13" s="327" t="s">
        <v>227</v>
      </c>
      <c r="HX13" t="s">
        <v>674</v>
      </c>
      <c r="IX13" s="210"/>
      <c r="KV13" t="s">
        <v>345</v>
      </c>
      <c r="LJ13" t="s">
        <v>496</v>
      </c>
      <c r="LK13">
        <v>1</v>
      </c>
      <c r="LX13" s="186" t="s">
        <v>892</v>
      </c>
      <c r="LY13" s="186" t="s">
        <v>1035</v>
      </c>
      <c r="LZ13" s="186" t="s">
        <v>472</v>
      </c>
      <c r="MA13" s="186" t="s">
        <v>507</v>
      </c>
      <c r="MB13" s="186"/>
      <c r="NN13" t="s">
        <v>309</v>
      </c>
      <c r="NO13" s="36"/>
      <c r="NP13" s="36"/>
      <c r="NQ13" s="36"/>
      <c r="NR13" s="36"/>
      <c r="NS13" s="36"/>
      <c r="NT13" s="36"/>
      <c r="NU13" s="36"/>
      <c r="NV13" s="36"/>
      <c r="NW13" s="36"/>
      <c r="NX13" s="36"/>
      <c r="NY13" s="36"/>
      <c r="NZ13" s="36"/>
      <c r="OA13" s="36"/>
      <c r="OB13" s="36"/>
      <c r="OC13" s="36"/>
      <c r="OD13" s="36"/>
      <c r="OE13" s="36"/>
      <c r="PG13" t="s">
        <v>322</v>
      </c>
      <c r="PU13" s="199" t="s">
        <v>21</v>
      </c>
      <c r="PV13" s="199" t="str">
        <f>PW1</f>
        <v>HelperSpringControlYes</v>
      </c>
      <c r="RU13" t="s">
        <v>2037</v>
      </c>
      <c r="RV13" t="str">
        <f t="shared" si="2"/>
        <v>CellularBlindProduct</v>
      </c>
      <c r="SE13" s="436" t="s">
        <v>1232</v>
      </c>
      <c r="SF13" s="436" t="s">
        <v>1223</v>
      </c>
      <c r="SG13" s="436" t="s">
        <v>1993</v>
      </c>
      <c r="SH13" s="436" t="s">
        <v>1228</v>
      </c>
      <c r="SS13" t="s">
        <v>1225</v>
      </c>
      <c r="TZ13" s="207" t="s">
        <v>1176</v>
      </c>
      <c r="UA13" s="199" t="str">
        <f>$XI$1</f>
        <v>Cellular Colour 2 38mm Double Cellular Blind</v>
      </c>
      <c r="UC13" s="436" t="s">
        <v>1277</v>
      </c>
      <c r="UD13" s="436" t="s">
        <v>1280</v>
      </c>
      <c r="UO13" s="241" t="s">
        <v>1282</v>
      </c>
      <c r="UT13" s="35" t="s">
        <v>2037</v>
      </c>
      <c r="UU13" t="s">
        <v>2192</v>
      </c>
      <c r="UV13" t="s">
        <v>2193</v>
      </c>
      <c r="UW13" t="s">
        <v>2194</v>
      </c>
      <c r="UY13" t="s">
        <v>2195</v>
      </c>
      <c r="UZ13" t="s">
        <v>2196</v>
      </c>
      <c r="VA13" t="s">
        <v>2331</v>
      </c>
      <c r="VB13" t="s">
        <v>2332</v>
      </c>
      <c r="VD13" s="35" t="s">
        <v>2136</v>
      </c>
      <c r="VE13" t="s">
        <v>1133</v>
      </c>
      <c r="VL13" t="s">
        <v>2178</v>
      </c>
      <c r="VM13" s="245"/>
      <c r="VN13" s="245" t="str">
        <f>$WJ$25</f>
        <v>Motorised Standard 38mm Single</v>
      </c>
      <c r="VO13" s="245"/>
      <c r="VP13" s="245"/>
      <c r="VQ13" s="245"/>
      <c r="WD13" t="s">
        <v>1186</v>
      </c>
      <c r="WF13" t="s">
        <v>1186</v>
      </c>
      <c r="WG13" t="s">
        <v>1186</v>
      </c>
      <c r="WI13" t="s">
        <v>1186</v>
      </c>
      <c r="WJ13" t="s">
        <v>1186</v>
      </c>
      <c r="WL13" t="s">
        <v>1186</v>
      </c>
      <c r="WM13" t="s">
        <v>1186</v>
      </c>
      <c r="WN13" t="s">
        <v>1186</v>
      </c>
      <c r="XF13" s="436" t="s">
        <v>1280</v>
      </c>
      <c r="XG13" s="436" t="s">
        <v>1277</v>
      </c>
      <c r="XH13" s="436" t="s">
        <v>2216</v>
      </c>
      <c r="XI13" s="241" t="s">
        <v>1282</v>
      </c>
      <c r="YU13" s="35" t="s">
        <v>2037</v>
      </c>
      <c r="ZG13" t="s">
        <v>2190</v>
      </c>
      <c r="ZK13" s="199" t="s">
        <v>2177</v>
      </c>
      <c r="ZL13" s="199">
        <v>5.04</v>
      </c>
      <c r="ZM13" s="199">
        <v>850</v>
      </c>
      <c r="ZN13" s="199">
        <v>3000</v>
      </c>
      <c r="ZO13" s="199">
        <v>300</v>
      </c>
      <c r="ZP13" s="199">
        <v>3000</v>
      </c>
      <c r="ZQ13" s="199" t="s">
        <v>2037</v>
      </c>
      <c r="ZR13" s="199">
        <v>7.5</v>
      </c>
      <c r="ZS13" s="199">
        <v>820</v>
      </c>
      <c r="ZT13" s="199">
        <v>3000</v>
      </c>
      <c r="ZU13" s="199">
        <v>300</v>
      </c>
      <c r="ZV13" s="199">
        <v>2500</v>
      </c>
      <c r="ZW13" s="199" t="s">
        <v>2037</v>
      </c>
      <c r="ZX13" s="199">
        <v>7</v>
      </c>
      <c r="ZY13" s="199">
        <v>850</v>
      </c>
      <c r="ZZ13" s="199">
        <v>3000</v>
      </c>
      <c r="AAA13" s="199">
        <v>300</v>
      </c>
      <c r="AAB13" s="199">
        <v>2500</v>
      </c>
      <c r="AAC13" s="199" t="s">
        <v>2037</v>
      </c>
      <c r="AAD13" s="199">
        <v>9</v>
      </c>
      <c r="AAE13" s="199">
        <v>850</v>
      </c>
      <c r="AAF13" s="353">
        <v>3000</v>
      </c>
      <c r="AAG13" s="353">
        <v>300</v>
      </c>
      <c r="AAH13" s="199">
        <v>3000</v>
      </c>
      <c r="AAK13" t="s">
        <v>1141</v>
      </c>
      <c r="AAL13" t="str">
        <f t="shared" si="6"/>
        <v>Oval Bottom Rail 2</v>
      </c>
      <c r="AAM13" t="str">
        <f t="shared" si="3"/>
        <v>Sewn In Pocket</v>
      </c>
      <c r="ABB13" t="s">
        <v>1090</v>
      </c>
    </row>
    <row r="14" spans="1:753" ht="15">
      <c r="L14" t="s">
        <v>119</v>
      </c>
      <c r="M14">
        <v>823</v>
      </c>
      <c r="N14" t="s">
        <v>2</v>
      </c>
      <c r="O14">
        <v>215486</v>
      </c>
      <c r="P14" t="s">
        <v>16</v>
      </c>
      <c r="Q14">
        <v>2313</v>
      </c>
      <c r="R14" t="s">
        <v>85</v>
      </c>
      <c r="S14" t="s">
        <v>83</v>
      </c>
      <c r="T14">
        <v>2180</v>
      </c>
      <c r="V14" s="1"/>
      <c r="AA14" s="35" t="s">
        <v>1535</v>
      </c>
      <c r="AB14" s="178" t="s">
        <v>413</v>
      </c>
      <c r="AF14" t="s">
        <v>346</v>
      </c>
      <c r="AN14" t="s">
        <v>264</v>
      </c>
      <c r="AW14" s="37"/>
      <c r="BK14" t="s">
        <v>311</v>
      </c>
      <c r="CW14" s="327" t="s">
        <v>1775</v>
      </c>
      <c r="CX14" s="327" t="s">
        <v>417</v>
      </c>
      <c r="CY14" s="327" t="s">
        <v>418</v>
      </c>
      <c r="CZ14" s="327" t="s">
        <v>417</v>
      </c>
      <c r="DA14" s="327" t="s">
        <v>417</v>
      </c>
      <c r="DJ14" t="s">
        <v>1535</v>
      </c>
      <c r="DK14" t="s">
        <v>1535</v>
      </c>
      <c r="DN14" s="106"/>
      <c r="DO14" s="199" t="s">
        <v>514</v>
      </c>
      <c r="DP14" s="199">
        <v>3</v>
      </c>
      <c r="DQ14" s="199">
        <f t="shared" si="5"/>
        <v>1</v>
      </c>
      <c r="EK14" t="s">
        <v>69</v>
      </c>
      <c r="EM14" t="s">
        <v>603</v>
      </c>
      <c r="EN14" t="s">
        <v>603</v>
      </c>
      <c r="EO14" t="s">
        <v>603</v>
      </c>
      <c r="FA14" s="210" t="s">
        <v>563</v>
      </c>
      <c r="FB14" s="210" t="s">
        <v>69</v>
      </c>
      <c r="FC14" t="s">
        <v>312</v>
      </c>
      <c r="FD14" t="s">
        <v>22</v>
      </c>
      <c r="FF14" t="s">
        <v>624</v>
      </c>
      <c r="FN14" t="s">
        <v>308</v>
      </c>
      <c r="FP14" t="s">
        <v>676</v>
      </c>
      <c r="FZ14" t="s">
        <v>227</v>
      </c>
      <c r="HX14" t="s">
        <v>770</v>
      </c>
      <c r="IX14" s="210"/>
      <c r="KV14" t="s">
        <v>346</v>
      </c>
      <c r="LJ14" t="s">
        <v>494</v>
      </c>
      <c r="LK14">
        <v>1</v>
      </c>
      <c r="LX14" s="186" t="s">
        <v>893</v>
      </c>
      <c r="LY14" s="234" t="s">
        <v>1077</v>
      </c>
      <c r="LZ14" s="186" t="s">
        <v>473</v>
      </c>
      <c r="MA14" s="186" t="s">
        <v>508</v>
      </c>
      <c r="MB14" s="186"/>
      <c r="MN14" t="s">
        <v>1499</v>
      </c>
      <c r="NN14" t="s">
        <v>311</v>
      </c>
      <c r="NO14" s="800" t="s">
        <v>1055</v>
      </c>
      <c r="NP14" s="800"/>
      <c r="NQ14" s="800"/>
      <c r="NR14" s="800"/>
      <c r="NS14" s="800"/>
      <c r="NT14" s="800"/>
      <c r="NU14" s="800"/>
      <c r="NV14" s="800"/>
      <c r="NW14" s="800"/>
      <c r="NX14" s="800"/>
      <c r="NY14" s="800"/>
      <c r="NZ14" s="800"/>
      <c r="OA14" s="800"/>
      <c r="OB14" s="800"/>
      <c r="OC14" s="800"/>
      <c r="OD14" s="800"/>
      <c r="OE14" s="800"/>
      <c r="PU14" s="199" t="s">
        <v>28</v>
      </c>
      <c r="PV14" s="199" t="str">
        <f>PW1</f>
        <v>HelperSpringControlYes</v>
      </c>
      <c r="RU14" t="s">
        <v>2177</v>
      </c>
      <c r="RV14" t="str">
        <f>$RQ$1</f>
        <v>Skylight Product</v>
      </c>
      <c r="SE14" s="436" t="s">
        <v>1992</v>
      </c>
      <c r="SF14" s="436" t="s">
        <v>1238</v>
      </c>
      <c r="SG14" s="436" t="s">
        <v>1222</v>
      </c>
      <c r="SH14" s="436" t="s">
        <v>1239</v>
      </c>
      <c r="SS14" t="s">
        <v>1240</v>
      </c>
      <c r="TC14" s="39"/>
      <c r="TD14" s="39"/>
      <c r="TE14" s="39"/>
      <c r="TF14" s="39"/>
      <c r="TG14" s="39"/>
      <c r="TH14" s="39"/>
      <c r="TI14" s="39"/>
      <c r="TJ14" s="39"/>
      <c r="TK14" s="39"/>
      <c r="TL14" s="39"/>
      <c r="TM14" s="39"/>
      <c r="TN14" s="39"/>
      <c r="UC14" s="436" t="s">
        <v>2008</v>
      </c>
      <c r="UD14" s="436" t="s">
        <v>1330</v>
      </c>
      <c r="UO14" s="241" t="s">
        <v>1283</v>
      </c>
      <c r="UT14" t="s">
        <v>2177</v>
      </c>
      <c r="UU14" t="s">
        <v>332</v>
      </c>
      <c r="UV14" t="s">
        <v>2131</v>
      </c>
      <c r="UW14" t="s">
        <v>1451</v>
      </c>
      <c r="UX14" t="str">
        <f>$UZ$13</f>
        <v>Motor Side No</v>
      </c>
      <c r="UY14" t="s">
        <v>21</v>
      </c>
      <c r="UZ14" t="s">
        <v>332</v>
      </c>
      <c r="VA14" t="s">
        <v>21</v>
      </c>
      <c r="VB14" t="s">
        <v>28</v>
      </c>
      <c r="VE14" t="s">
        <v>1135</v>
      </c>
      <c r="VL14" s="245" t="s">
        <v>2036</v>
      </c>
      <c r="VM14" s="245" t="str">
        <f>VZ25</f>
        <v>Motorised Day Night 25mm Single</v>
      </c>
      <c r="VN14" s="245" t="str">
        <f>WK25</f>
        <v>Motorised Day Night 38mm Single</v>
      </c>
      <c r="VO14" s="245" t="str">
        <f>WK100</f>
        <v>Motorised Day Night 45mm Single</v>
      </c>
      <c r="VP14" s="245" t="str">
        <f>WK126</f>
        <v>Motorised Day Night 45mm Single Cell In A Cell</v>
      </c>
      <c r="VQ14" s="245" t="str">
        <f>WV25</f>
        <v>Motorised Day Night 38mm Double</v>
      </c>
      <c r="WD14" t="s">
        <v>1190</v>
      </c>
      <c r="WF14" t="s">
        <v>1190</v>
      </c>
      <c r="WG14" t="s">
        <v>1190</v>
      </c>
      <c r="WI14" t="s">
        <v>1190</v>
      </c>
      <c r="WJ14" t="s">
        <v>1190</v>
      </c>
      <c r="WL14" t="s">
        <v>1190</v>
      </c>
      <c r="WM14" t="s">
        <v>1190</v>
      </c>
      <c r="WN14" t="s">
        <v>1190</v>
      </c>
      <c r="XF14" s="436" t="s">
        <v>1330</v>
      </c>
      <c r="XG14" s="436" t="s">
        <v>2008</v>
      </c>
      <c r="XH14" s="436" t="s">
        <v>1976</v>
      </c>
      <c r="XI14" s="241" t="s">
        <v>1283</v>
      </c>
      <c r="YU14" t="s">
        <v>2177</v>
      </c>
      <c r="ZK14" s="199" t="s">
        <v>2178</v>
      </c>
      <c r="ZL14" s="199">
        <v>5.04</v>
      </c>
      <c r="ZM14" s="199">
        <v>450</v>
      </c>
      <c r="ZN14" s="199">
        <v>1800</v>
      </c>
      <c r="ZO14" s="199">
        <v>300</v>
      </c>
      <c r="ZP14" s="199">
        <v>2100</v>
      </c>
      <c r="AAK14" t="s">
        <v>215</v>
      </c>
      <c r="AAL14" s="35" t="str">
        <f>$CS$2</f>
        <v>Oval Bottom Rail</v>
      </c>
      <c r="AAM14" t="str">
        <f t="shared" si="3"/>
        <v>Sewn In Pocket</v>
      </c>
    </row>
    <row r="15" spans="1:753" ht="15">
      <c r="L15" t="s">
        <v>59</v>
      </c>
      <c r="M15">
        <v>824</v>
      </c>
      <c r="N15" t="s">
        <v>3</v>
      </c>
      <c r="O15">
        <v>215487</v>
      </c>
      <c r="P15" t="s">
        <v>15</v>
      </c>
      <c r="Q15">
        <v>2315</v>
      </c>
      <c r="R15" t="s">
        <v>82</v>
      </c>
      <c r="S15" t="s">
        <v>86</v>
      </c>
      <c r="T15">
        <v>2181</v>
      </c>
      <c r="V15" s="1"/>
      <c r="AA15" s="35" t="s">
        <v>434</v>
      </c>
      <c r="AB15" s="178" t="s">
        <v>412</v>
      </c>
      <c r="AF15" t="s">
        <v>347</v>
      </c>
      <c r="AN15" t="s">
        <v>836</v>
      </c>
      <c r="AP15" s="210" t="s">
        <v>963</v>
      </c>
      <c r="AQ15" s="210" t="s">
        <v>964</v>
      </c>
      <c r="AW15" s="37"/>
      <c r="BK15" t="s">
        <v>312</v>
      </c>
      <c r="DJ15" t="s">
        <v>434</v>
      </c>
      <c r="DK15" t="s">
        <v>434</v>
      </c>
      <c r="DN15" s="106"/>
      <c r="DO15" s="199" t="s">
        <v>496</v>
      </c>
      <c r="DP15" s="199">
        <v>4</v>
      </c>
      <c r="DQ15" s="199">
        <f t="shared" si="5"/>
        <v>1</v>
      </c>
      <c r="EM15" s="327" t="s">
        <v>1787</v>
      </c>
      <c r="EN15" s="327" t="s">
        <v>1787</v>
      </c>
      <c r="EO15" s="327" t="s">
        <v>1787</v>
      </c>
      <c r="FA15" s="210" t="s">
        <v>551</v>
      </c>
      <c r="FB15" s="210" t="s">
        <v>615</v>
      </c>
      <c r="FC15" t="s">
        <v>577</v>
      </c>
      <c r="FD15" t="s">
        <v>22</v>
      </c>
      <c r="FF15" t="s">
        <v>625</v>
      </c>
      <c r="FN15" t="s">
        <v>317</v>
      </c>
      <c r="FP15" t="s">
        <v>677</v>
      </c>
      <c r="HX15" t="s">
        <v>759</v>
      </c>
      <c r="IX15" s="210"/>
      <c r="KV15" t="s">
        <v>347</v>
      </c>
      <c r="LJ15" t="s">
        <v>497</v>
      </c>
      <c r="LK15">
        <v>2</v>
      </c>
      <c r="LX15" s="186" t="s">
        <v>894</v>
      </c>
      <c r="LY15" s="186" t="s">
        <v>491</v>
      </c>
      <c r="LZ15" s="186" t="s">
        <v>474</v>
      </c>
      <c r="MN15" t="s">
        <v>984</v>
      </c>
      <c r="NN15" t="s">
        <v>312</v>
      </c>
      <c r="NO15" s="199" t="s">
        <v>1056</v>
      </c>
      <c r="NP15" s="199" t="s">
        <v>1057</v>
      </c>
      <c r="NQ15" s="199" t="s">
        <v>1058</v>
      </c>
      <c r="NR15" s="199" t="s">
        <v>1059</v>
      </c>
      <c r="NS15" s="199" t="s">
        <v>1060</v>
      </c>
      <c r="NT15" s="199" t="s">
        <v>1061</v>
      </c>
      <c r="NU15" s="199" t="s">
        <v>1062</v>
      </c>
      <c r="NV15" s="199" t="s">
        <v>1063</v>
      </c>
      <c r="NW15" s="199" t="s">
        <v>1064</v>
      </c>
      <c r="NX15" s="199" t="s">
        <v>1065</v>
      </c>
      <c r="NY15" s="199" t="s">
        <v>1066</v>
      </c>
      <c r="NZ15" s="199" t="s">
        <v>1067</v>
      </c>
      <c r="OA15" s="199" t="s">
        <v>1068</v>
      </c>
      <c r="OB15" s="199" t="s">
        <v>1069</v>
      </c>
      <c r="OC15" s="199" t="s">
        <v>1070</v>
      </c>
      <c r="OD15" s="199"/>
      <c r="OE15" s="199"/>
      <c r="OG15" s="241" t="s">
        <v>1529</v>
      </c>
      <c r="PU15" s="199" t="s">
        <v>1465</v>
      </c>
      <c r="PV15" s="199" t="str">
        <f>$PV$1</f>
        <v>HelperSpringControlNo</v>
      </c>
      <c r="RU15" t="s">
        <v>2178</v>
      </c>
      <c r="RV15" t="str">
        <f>$RQ$1</f>
        <v>Skylight Product</v>
      </c>
      <c r="SE15" s="436" t="s">
        <v>1993</v>
      </c>
      <c r="SF15" s="436" t="s">
        <v>1236</v>
      </c>
      <c r="SG15" s="436" t="s">
        <v>1233</v>
      </c>
      <c r="SH15" s="436" t="s">
        <v>1225</v>
      </c>
      <c r="SS15" t="s">
        <v>1229</v>
      </c>
      <c r="UC15" s="436" t="s">
        <v>2009</v>
      </c>
      <c r="UD15" s="436" t="s">
        <v>1331</v>
      </c>
      <c r="UO15" s="241" t="s">
        <v>1284</v>
      </c>
      <c r="UT15" t="s">
        <v>2178</v>
      </c>
      <c r="UV15" t="s">
        <v>2132</v>
      </c>
      <c r="UW15" t="s">
        <v>1452</v>
      </c>
      <c r="UX15" t="str">
        <f>$UZ$13</f>
        <v>Motor Side No</v>
      </c>
      <c r="UY15" t="s">
        <v>28</v>
      </c>
      <c r="VE15" t="s">
        <v>1137</v>
      </c>
      <c r="VL15" s="245" t="s">
        <v>2037</v>
      </c>
      <c r="VM15" s="245" t="str">
        <f>WA25</f>
        <v>Motorised Top Down Bottom Up 25mm Single</v>
      </c>
      <c r="VN15" s="245" t="str">
        <f>WL25</f>
        <v>Motorised Top Down Bottom Up 38mm Single</v>
      </c>
      <c r="VO15" s="245" t="str">
        <f>WL100</f>
        <v>Motorised Top Down Bottom Up 45mm Single</v>
      </c>
      <c r="VP15" s="245" t="str">
        <f>WL126</f>
        <v>Motorised Top Down Bottom Up 45mm Single Cell In A Cell</v>
      </c>
      <c r="VQ15" s="245" t="str">
        <f>WW25</f>
        <v>Motorised Top Down Bottom Up 38mm Double</v>
      </c>
      <c r="XF15" s="436" t="s">
        <v>1331</v>
      </c>
      <c r="XG15" s="436" t="s">
        <v>2009</v>
      </c>
      <c r="XH15" s="436" t="s">
        <v>1977</v>
      </c>
      <c r="XI15" s="241" t="s">
        <v>1284</v>
      </c>
      <c r="YU15" t="s">
        <v>2178</v>
      </c>
      <c r="ZK15" s="199" t="s">
        <v>2037</v>
      </c>
      <c r="ZL15" s="199">
        <v>9</v>
      </c>
      <c r="ZM15" s="199">
        <v>630</v>
      </c>
      <c r="ZN15" s="199">
        <v>2400</v>
      </c>
      <c r="ZO15" s="199">
        <v>600</v>
      </c>
      <c r="ZP15" s="199">
        <v>2100</v>
      </c>
      <c r="AAK15" t="s">
        <v>1090</v>
      </c>
      <c r="AAL15" t="str">
        <f t="shared" si="6"/>
        <v>Oval Bottom Rail 2</v>
      </c>
      <c r="AAM15" t="str">
        <f t="shared" si="3"/>
        <v>Sewn In Pocket</v>
      </c>
    </row>
    <row r="16" spans="1:753" ht="15">
      <c r="L16" t="s">
        <v>61</v>
      </c>
      <c r="M16">
        <v>833</v>
      </c>
      <c r="N16" t="s">
        <v>8</v>
      </c>
      <c r="O16">
        <v>216927</v>
      </c>
      <c r="P16" t="s">
        <v>9</v>
      </c>
      <c r="Q16">
        <v>2290</v>
      </c>
      <c r="R16" t="s">
        <v>88</v>
      </c>
      <c r="S16" t="s">
        <v>89</v>
      </c>
      <c r="T16">
        <v>2182</v>
      </c>
      <c r="V16" s="1"/>
      <c r="AA16" s="35" t="s">
        <v>440</v>
      </c>
      <c r="AF16" t="s">
        <v>348</v>
      </c>
      <c r="AN16" t="s">
        <v>265</v>
      </c>
      <c r="AP16" t="s">
        <v>966</v>
      </c>
      <c r="AQ16" t="s">
        <v>965</v>
      </c>
      <c r="AW16" s="36"/>
      <c r="BK16" t="s">
        <v>577</v>
      </c>
      <c r="DJ16" t="s">
        <v>440</v>
      </c>
      <c r="DK16" t="s">
        <v>440</v>
      </c>
      <c r="DN16" s="106"/>
      <c r="DO16" s="199" t="s">
        <v>494</v>
      </c>
      <c r="DP16" s="199">
        <v>4</v>
      </c>
      <c r="DQ16" s="199">
        <f t="shared" si="5"/>
        <v>1</v>
      </c>
      <c r="FA16" s="210" t="s">
        <v>550</v>
      </c>
      <c r="FB16" s="210" t="s">
        <v>69</v>
      </c>
      <c r="FC16" t="s">
        <v>314</v>
      </c>
      <c r="FD16" t="s">
        <v>22</v>
      </c>
      <c r="FF16" t="s">
        <v>310</v>
      </c>
      <c r="FN16" t="s">
        <v>318</v>
      </c>
      <c r="FP16" t="s">
        <v>678</v>
      </c>
      <c r="HO16" t="s">
        <v>882</v>
      </c>
      <c r="HP16" t="s">
        <v>883</v>
      </c>
      <c r="HQ16" t="s">
        <v>884</v>
      </c>
      <c r="HR16" t="s">
        <v>885</v>
      </c>
      <c r="HX16" t="s">
        <v>679</v>
      </c>
      <c r="IV16" s="327" t="s">
        <v>1786</v>
      </c>
      <c r="KV16" t="s">
        <v>348</v>
      </c>
      <c r="LJ16" t="s">
        <v>500</v>
      </c>
      <c r="LK16">
        <v>2</v>
      </c>
      <c r="LX16" s="186" t="s">
        <v>482</v>
      </c>
      <c r="LY16" s="186" t="s">
        <v>492</v>
      </c>
      <c r="LZ16" s="186" t="s">
        <v>475</v>
      </c>
      <c r="MN16" t="s">
        <v>986</v>
      </c>
      <c r="NN16" t="s">
        <v>577</v>
      </c>
      <c r="NO16" s="232" t="s">
        <v>69</v>
      </c>
      <c r="NP16" s="232" t="s">
        <v>22</v>
      </c>
      <c r="NQ16" s="232" t="s">
        <v>22</v>
      </c>
      <c r="NR16" s="232" t="s">
        <v>22</v>
      </c>
      <c r="NS16" s="232" t="s">
        <v>22</v>
      </c>
      <c r="NT16" s="232" t="s">
        <v>22</v>
      </c>
      <c r="NU16" s="232" t="s">
        <v>22</v>
      </c>
      <c r="NV16" s="232" t="s">
        <v>22</v>
      </c>
      <c r="NW16" s="232" t="s">
        <v>22</v>
      </c>
      <c r="NX16" s="232" t="s">
        <v>22</v>
      </c>
      <c r="NY16" s="232" t="s">
        <v>22</v>
      </c>
      <c r="NZ16" s="232" t="s">
        <v>22</v>
      </c>
      <c r="OA16" s="199" t="s">
        <v>391</v>
      </c>
      <c r="OB16" s="199" t="s">
        <v>392</v>
      </c>
      <c r="OC16" s="232" t="s">
        <v>332</v>
      </c>
      <c r="OD16" s="232"/>
      <c r="OE16" s="232"/>
      <c r="OG16" s="241" t="s">
        <v>22</v>
      </c>
      <c r="PU16" s="199" t="s">
        <v>1466</v>
      </c>
      <c r="PV16" s="199" t="str">
        <f t="shared" ref="PV16:PV20" si="7">$PV$1</f>
        <v>HelperSpringControlNo</v>
      </c>
      <c r="SE16" s="436" t="s">
        <v>1222</v>
      </c>
      <c r="SF16" s="436" t="s">
        <v>1228</v>
      </c>
      <c r="SG16" s="436" t="s">
        <v>2002</v>
      </c>
      <c r="SH16" s="436" t="s">
        <v>1229</v>
      </c>
      <c r="SS16" t="s">
        <v>1241</v>
      </c>
      <c r="UC16" s="436" t="s">
        <v>1329</v>
      </c>
      <c r="UD16" s="436" t="s">
        <v>1332</v>
      </c>
      <c r="UO16" s="241" t="s">
        <v>1286</v>
      </c>
      <c r="UW16" t="s">
        <v>1812</v>
      </c>
      <c r="UX16" t="str">
        <f>$UZ$13</f>
        <v>Motor Side No</v>
      </c>
      <c r="VE16" t="s">
        <v>1139</v>
      </c>
      <c r="VL16" s="438" t="s">
        <v>1469</v>
      </c>
      <c r="VM16" s="210" t="str">
        <f>VV1</f>
        <v>Cordless Standard 25mm Single</v>
      </c>
      <c r="VN16" s="210" t="str">
        <f>WG1</f>
        <v>Cordless Standard 38mm Single</v>
      </c>
      <c r="VO16" s="210" t="str">
        <f>WG47</f>
        <v>Cordless Standard 45mm Single</v>
      </c>
      <c r="VP16" s="210"/>
      <c r="VQ16" s="210" t="str">
        <f>WR1</f>
        <v>Cordless Standard 38mm Double</v>
      </c>
      <c r="XF16" s="436" t="s">
        <v>1332</v>
      </c>
      <c r="XG16" s="436" t="s">
        <v>1329</v>
      </c>
      <c r="XH16" s="436" t="s">
        <v>1978</v>
      </c>
      <c r="XI16" s="241" t="s">
        <v>1286</v>
      </c>
    </row>
    <row r="17" spans="12:710" ht="15">
      <c r="L17" t="s">
        <v>120</v>
      </c>
      <c r="M17">
        <v>834</v>
      </c>
      <c r="N17" t="s">
        <v>4</v>
      </c>
      <c r="O17">
        <v>217021</v>
      </c>
      <c r="P17" t="s">
        <v>10</v>
      </c>
      <c r="Q17">
        <v>2291</v>
      </c>
      <c r="R17" t="s">
        <v>91</v>
      </c>
      <c r="S17" t="s">
        <v>25</v>
      </c>
      <c r="T17">
        <v>2238</v>
      </c>
      <c r="V17" s="1"/>
      <c r="AA17" s="35" t="s">
        <v>441</v>
      </c>
      <c r="AN17" s="35" t="s">
        <v>267</v>
      </c>
      <c r="AP17" t="s">
        <v>277</v>
      </c>
      <c r="AW17" s="36"/>
      <c r="BK17" t="s">
        <v>314</v>
      </c>
      <c r="CS17" t="s">
        <v>1445</v>
      </c>
      <c r="DJ17" t="s">
        <v>441</v>
      </c>
      <c r="DK17" t="s">
        <v>441</v>
      </c>
      <c r="DN17" s="106"/>
      <c r="DO17" s="199" t="s">
        <v>497</v>
      </c>
      <c r="DP17" s="199">
        <v>6</v>
      </c>
      <c r="DQ17" s="199">
        <f t="shared" si="5"/>
        <v>2</v>
      </c>
      <c r="EM17" s="327"/>
      <c r="EN17" s="327"/>
      <c r="EO17" s="327"/>
      <c r="FA17" s="210" t="s">
        <v>874</v>
      </c>
      <c r="FB17" s="210" t="s">
        <v>69</v>
      </c>
      <c r="FC17" t="s">
        <v>313</v>
      </c>
      <c r="FD17" t="s">
        <v>22</v>
      </c>
      <c r="FF17" t="s">
        <v>626</v>
      </c>
      <c r="FN17" t="s">
        <v>354</v>
      </c>
      <c r="FP17" t="s">
        <v>679</v>
      </c>
      <c r="HO17" s="327" t="s">
        <v>609</v>
      </c>
      <c r="HP17" s="327" t="s">
        <v>609</v>
      </c>
      <c r="HQ17" s="327" t="s">
        <v>609</v>
      </c>
      <c r="HR17" s="327" t="s">
        <v>609</v>
      </c>
      <c r="HX17" t="s">
        <v>683</v>
      </c>
      <c r="IV17" s="327" t="s">
        <v>26</v>
      </c>
      <c r="LJ17" t="s">
        <v>502</v>
      </c>
      <c r="LK17">
        <v>2</v>
      </c>
      <c r="LX17" s="186" t="s">
        <v>483</v>
      </c>
      <c r="LY17" s="186" t="s">
        <v>512</v>
      </c>
      <c r="LZ17" s="186" t="s">
        <v>476</v>
      </c>
      <c r="MN17" t="s">
        <v>985</v>
      </c>
      <c r="NN17" t="s">
        <v>314</v>
      </c>
      <c r="NO17" s="232" t="s">
        <v>390</v>
      </c>
      <c r="NP17" s="232" t="s">
        <v>69</v>
      </c>
      <c r="NQ17" s="232" t="s">
        <v>69</v>
      </c>
      <c r="NR17" s="232" t="s">
        <v>69</v>
      </c>
      <c r="NS17" s="232" t="s">
        <v>69</v>
      </c>
      <c r="NT17" s="232" t="s">
        <v>69</v>
      </c>
      <c r="NU17" s="232" t="s">
        <v>69</v>
      </c>
      <c r="NV17" s="232" t="s">
        <v>69</v>
      </c>
      <c r="NW17" s="232" t="s">
        <v>69</v>
      </c>
      <c r="NX17" s="232" t="s">
        <v>69</v>
      </c>
      <c r="NY17" s="232" t="s">
        <v>69</v>
      </c>
      <c r="NZ17" s="232"/>
      <c r="OA17" s="199" t="s">
        <v>392</v>
      </c>
      <c r="OB17" s="199" t="s">
        <v>387</v>
      </c>
      <c r="OC17" s="232"/>
      <c r="OD17" s="232"/>
      <c r="OE17" s="232"/>
      <c r="OG17" s="241" t="s">
        <v>69</v>
      </c>
      <c r="PU17" s="199" t="s">
        <v>1467</v>
      </c>
      <c r="PV17" s="199" t="str">
        <f t="shared" si="7"/>
        <v>HelperSpringControlNo</v>
      </c>
      <c r="QL17" t="s">
        <v>1424</v>
      </c>
      <c r="QM17" t="s">
        <v>1425</v>
      </c>
      <c r="QN17" t="s">
        <v>1426</v>
      </c>
      <c r="QO17" t="s">
        <v>1427</v>
      </c>
      <c r="QP17" t="s">
        <v>1428</v>
      </c>
      <c r="QQ17" t="s">
        <v>1429</v>
      </c>
      <c r="QR17" t="s">
        <v>1430</v>
      </c>
      <c r="QS17" t="s">
        <v>1431</v>
      </c>
      <c r="QT17" t="s">
        <v>1432</v>
      </c>
      <c r="QU17" t="s">
        <v>1434</v>
      </c>
      <c r="QV17" t="s">
        <v>1504</v>
      </c>
      <c r="QW17" t="s">
        <v>1505</v>
      </c>
      <c r="SE17" s="436" t="s">
        <v>1234</v>
      </c>
      <c r="SF17" s="436" t="s">
        <v>1239</v>
      </c>
      <c r="SG17" s="436" t="s">
        <v>1234</v>
      </c>
      <c r="SS17" t="s">
        <v>1227</v>
      </c>
      <c r="UC17" s="436" t="s">
        <v>1278</v>
      </c>
      <c r="UD17" s="436" t="s">
        <v>1333</v>
      </c>
      <c r="UO17" s="241" t="s">
        <v>1285</v>
      </c>
      <c r="UW17" t="s">
        <v>1813</v>
      </c>
      <c r="UX17" t="str">
        <f>$UZ$13</f>
        <v>Motor Side No</v>
      </c>
      <c r="XF17" s="436" t="s">
        <v>1333</v>
      </c>
      <c r="XG17" s="436" t="s">
        <v>1278</v>
      </c>
      <c r="XH17" s="436" t="s">
        <v>1979</v>
      </c>
      <c r="XI17" s="241" t="s">
        <v>1285</v>
      </c>
    </row>
    <row r="18" spans="12:710" s="348" customFormat="1" ht="15">
      <c r="L18" s="348" t="s">
        <v>121</v>
      </c>
      <c r="M18" s="348">
        <v>838</v>
      </c>
      <c r="N18" s="348" t="s">
        <v>5</v>
      </c>
      <c r="O18" s="348">
        <v>217022</v>
      </c>
      <c r="P18" s="348" t="s">
        <v>11</v>
      </c>
      <c r="Q18" s="348">
        <v>2292</v>
      </c>
      <c r="R18" s="348" t="s">
        <v>93</v>
      </c>
      <c r="S18" s="348" t="s">
        <v>28</v>
      </c>
      <c r="T18" s="348">
        <v>2239</v>
      </c>
      <c r="V18" s="349"/>
      <c r="W18" s="348" t="s">
        <v>1161</v>
      </c>
      <c r="AA18" s="350" t="s">
        <v>445</v>
      </c>
      <c r="AN18" s="348" t="s">
        <v>269</v>
      </c>
      <c r="AP18" t="s">
        <v>278</v>
      </c>
      <c r="AW18" s="351"/>
      <c r="BK18" s="348" t="s">
        <v>313</v>
      </c>
      <c r="CS18" s="348" t="s">
        <v>767</v>
      </c>
      <c r="DJ18" s="348" t="s">
        <v>445</v>
      </c>
      <c r="DK18" s="348" t="s">
        <v>445</v>
      </c>
      <c r="DN18" s="352"/>
      <c r="DO18" s="353" t="s">
        <v>500</v>
      </c>
      <c r="DP18" s="353">
        <v>4</v>
      </c>
      <c r="DQ18" s="353">
        <f t="shared" si="5"/>
        <v>2</v>
      </c>
      <c r="DR18" s="354"/>
      <c r="DS18" s="354"/>
      <c r="DT18" s="354"/>
      <c r="DU18" s="354"/>
      <c r="DV18" s="354"/>
      <c r="DW18" s="354"/>
      <c r="DY18" s="354"/>
      <c r="DZ18" s="354"/>
      <c r="EA18" s="354"/>
      <c r="EB18" s="354"/>
      <c r="EC18" s="354"/>
      <c r="ED18" s="354"/>
      <c r="EE18" s="354"/>
      <c r="FA18" s="355" t="s">
        <v>549</v>
      </c>
      <c r="FB18" s="355" t="s">
        <v>69</v>
      </c>
      <c r="FC18" s="356" t="s">
        <v>1526</v>
      </c>
      <c r="FD18" s="356" t="s">
        <v>22</v>
      </c>
      <c r="FF18" s="348" t="s">
        <v>627</v>
      </c>
      <c r="FG18" s="353" t="s">
        <v>155</v>
      </c>
      <c r="FH18" s="357" t="s">
        <v>1541</v>
      </c>
      <c r="FI18" s="358" t="s">
        <v>872</v>
      </c>
      <c r="FJ18" s="358" t="s">
        <v>873</v>
      </c>
      <c r="FK18" s="359" t="s">
        <v>1775</v>
      </c>
      <c r="FL18" s="359" t="s">
        <v>1774</v>
      </c>
      <c r="FN18" s="348" t="s">
        <v>319</v>
      </c>
      <c r="FP18" s="348" t="s">
        <v>680</v>
      </c>
      <c r="HX18" s="360" t="s">
        <v>760</v>
      </c>
      <c r="HY18" s="360" t="s">
        <v>760</v>
      </c>
      <c r="LJ18" s="350" t="s">
        <v>509</v>
      </c>
      <c r="LK18" s="350">
        <v>2</v>
      </c>
      <c r="LM18" s="350"/>
      <c r="LX18" s="348" t="s">
        <v>895</v>
      </c>
      <c r="LY18" s="361" t="s">
        <v>494</v>
      </c>
      <c r="LZ18" s="361" t="s">
        <v>519</v>
      </c>
      <c r="MA18" s="361"/>
      <c r="MB18" s="354"/>
      <c r="MC18" s="354"/>
      <c r="ME18" s="354"/>
      <c r="MF18" s="354"/>
      <c r="MG18" s="354"/>
      <c r="MH18" s="354"/>
      <c r="NN18" s="348" t="s">
        <v>313</v>
      </c>
      <c r="NO18" s="362" t="s">
        <v>393</v>
      </c>
      <c r="NP18" s="362" t="s">
        <v>390</v>
      </c>
      <c r="NQ18" s="362" t="s">
        <v>390</v>
      </c>
      <c r="NR18" s="362" t="s">
        <v>390</v>
      </c>
      <c r="NS18" s="362" t="s">
        <v>390</v>
      </c>
      <c r="NT18" s="362" t="s">
        <v>390</v>
      </c>
      <c r="NU18" s="362" t="s">
        <v>390</v>
      </c>
      <c r="NV18" s="362" t="s">
        <v>390</v>
      </c>
      <c r="NW18" s="362" t="s">
        <v>390</v>
      </c>
      <c r="NX18" s="362" t="s">
        <v>390</v>
      </c>
      <c r="NY18" s="362" t="s">
        <v>390</v>
      </c>
      <c r="NZ18" s="362"/>
      <c r="OA18" s="353" t="s">
        <v>387</v>
      </c>
      <c r="OB18" s="353" t="s">
        <v>388</v>
      </c>
      <c r="OD18" s="362"/>
      <c r="OE18" s="362"/>
      <c r="OF18" s="362"/>
      <c r="OG18" s="356" t="s">
        <v>390</v>
      </c>
      <c r="PU18" s="353" t="s">
        <v>1468</v>
      </c>
      <c r="PV18" s="353" t="str">
        <f t="shared" si="7"/>
        <v>HelperSpringControlNo</v>
      </c>
      <c r="QL18" s="348" t="s">
        <v>322</v>
      </c>
      <c r="QM18" s="348" t="s">
        <v>322</v>
      </c>
      <c r="QN18" s="348" t="s">
        <v>332</v>
      </c>
      <c r="QO18" s="348" t="s">
        <v>332</v>
      </c>
      <c r="QP18" s="348" t="s">
        <v>332</v>
      </c>
      <c r="QQ18" s="348" t="s">
        <v>332</v>
      </c>
      <c r="QR18" s="348" t="s">
        <v>332</v>
      </c>
      <c r="QS18" s="348" t="s">
        <v>332</v>
      </c>
      <c r="QT18" s="348" t="s">
        <v>332</v>
      </c>
      <c r="QU18" s="348" t="s">
        <v>332</v>
      </c>
      <c r="QV18" s="348" t="s">
        <v>332</v>
      </c>
      <c r="QW18" s="348" t="s">
        <v>332</v>
      </c>
      <c r="RB18"/>
      <c r="RU18"/>
      <c r="RV18"/>
      <c r="SE18" s="436" t="s">
        <v>1235</v>
      </c>
      <c r="SF18" s="437" t="s">
        <v>1225</v>
      </c>
      <c r="SG18" s="436" t="s">
        <v>1235</v>
      </c>
      <c r="SH18"/>
      <c r="SI18"/>
      <c r="SJ18"/>
      <c r="SK18"/>
      <c r="SM18"/>
      <c r="SS18" s="348" t="s">
        <v>1242</v>
      </c>
      <c r="TB18"/>
      <c r="TC18"/>
      <c r="TD18"/>
      <c r="TE18"/>
      <c r="TF18"/>
      <c r="TG18"/>
      <c r="TH18"/>
      <c r="TI18"/>
      <c r="TJ18"/>
      <c r="TK18"/>
      <c r="TL18"/>
      <c r="TM18"/>
      <c r="TN18"/>
      <c r="TO18"/>
      <c r="TP18"/>
      <c r="TQ18"/>
      <c r="TR18"/>
      <c r="TS18"/>
      <c r="TT18"/>
      <c r="TU18"/>
      <c r="TV18"/>
      <c r="TW18"/>
      <c r="TX18"/>
      <c r="TY18"/>
      <c r="TZ18"/>
      <c r="UA18"/>
      <c r="UB18"/>
      <c r="UC18" s="436" t="s">
        <v>1279</v>
      </c>
      <c r="UD18" s="437" t="s">
        <v>1282</v>
      </c>
      <c r="UE18"/>
      <c r="UF18"/>
      <c r="UG18"/>
      <c r="UI18"/>
      <c r="UO18" s="356" t="s">
        <v>1287</v>
      </c>
      <c r="UW18" s="348" t="s">
        <v>2129</v>
      </c>
      <c r="UX18" s="348" t="str">
        <f t="shared" ref="UX18:UX25" si="8">$UY$13</f>
        <v>Motor Side Yes</v>
      </c>
      <c r="VD18"/>
      <c r="VL18"/>
      <c r="VM18"/>
      <c r="VN18"/>
      <c r="VO18"/>
      <c r="VP18"/>
      <c r="VQ18"/>
      <c r="WD18"/>
      <c r="XF18" s="437" t="s">
        <v>1282</v>
      </c>
      <c r="XG18" s="436" t="s">
        <v>1279</v>
      </c>
      <c r="XH18" s="436" t="s">
        <v>1980</v>
      </c>
      <c r="XI18" s="356" t="s">
        <v>1287</v>
      </c>
      <c r="XS18"/>
      <c r="XT18"/>
      <c r="XU18"/>
      <c r="XV18"/>
      <c r="XW18"/>
      <c r="XX18"/>
      <c r="XY18"/>
      <c r="XZ18"/>
      <c r="YA18"/>
      <c r="YB18"/>
      <c r="YC18"/>
      <c r="YD18"/>
      <c r="YE18"/>
      <c r="YF18"/>
      <c r="YG18"/>
      <c r="YH18"/>
      <c r="YI18"/>
      <c r="YJ18"/>
      <c r="YK18"/>
      <c r="YL18"/>
      <c r="YM18"/>
      <c r="YN18"/>
      <c r="YO18"/>
      <c r="YP18"/>
      <c r="YQ18"/>
      <c r="YR18"/>
      <c r="ZK18"/>
      <c r="ZL18"/>
      <c r="ZM18"/>
      <c r="ZN18"/>
      <c r="ZO18"/>
    </row>
    <row r="19" spans="12:710" s="348" customFormat="1" ht="15">
      <c r="L19" s="348" t="s">
        <v>122</v>
      </c>
      <c r="M19" s="348">
        <v>839</v>
      </c>
      <c r="N19" s="348" t="s">
        <v>6</v>
      </c>
      <c r="O19" s="348">
        <v>217023</v>
      </c>
      <c r="P19" s="348" t="s">
        <v>12</v>
      </c>
      <c r="Q19" s="348">
        <v>2293</v>
      </c>
      <c r="R19" s="348" t="s">
        <v>95</v>
      </c>
      <c r="S19" s="348" t="s">
        <v>96</v>
      </c>
      <c r="T19" s="348">
        <v>2240</v>
      </c>
      <c r="V19" s="349"/>
      <c r="AA19" s="350" t="s">
        <v>431</v>
      </c>
      <c r="AJ19" s="348" t="s">
        <v>2187</v>
      </c>
      <c r="AN19" s="350"/>
      <c r="AP19" t="s">
        <v>1817</v>
      </c>
      <c r="AW19" s="351"/>
      <c r="BK19" s="348" t="s">
        <v>332</v>
      </c>
      <c r="CS19" s="348" t="s">
        <v>408</v>
      </c>
      <c r="DJ19" s="348" t="s">
        <v>431</v>
      </c>
      <c r="DK19" s="348" t="s">
        <v>431</v>
      </c>
      <c r="DN19" s="352"/>
      <c r="DO19" s="353" t="s">
        <v>502</v>
      </c>
      <c r="DP19" s="353">
        <v>3</v>
      </c>
      <c r="DQ19" s="353">
        <f t="shared" si="5"/>
        <v>2</v>
      </c>
      <c r="DR19" s="354"/>
      <c r="DS19" s="354"/>
      <c r="DT19" s="354"/>
      <c r="DU19" s="354"/>
      <c r="DV19" s="354"/>
      <c r="DW19" s="354"/>
      <c r="DY19" s="354"/>
      <c r="DZ19" s="354"/>
      <c r="EA19" s="354"/>
      <c r="EB19" s="354"/>
      <c r="EC19" s="354"/>
      <c r="ED19" s="354"/>
      <c r="EE19" s="354"/>
      <c r="FF19" s="348" t="s">
        <v>628</v>
      </c>
      <c r="FG19" s="353" t="s">
        <v>300</v>
      </c>
      <c r="FH19" s="357" t="str">
        <f>FG1</f>
        <v>Timber_Hinged_Frame_Type</v>
      </c>
      <c r="FI19" s="358" t="str">
        <f>$FJ$1</f>
        <v>Hinged_Frame_Type</v>
      </c>
      <c r="FJ19" s="358" t="str">
        <f t="shared" ref="FJ19:FL19" si="9">$FJ$1</f>
        <v>Hinged_Frame_Type</v>
      </c>
      <c r="FK19" s="358" t="str">
        <f t="shared" si="9"/>
        <v>Hinged_Frame_Type</v>
      </c>
      <c r="FL19" s="359" t="str">
        <f t="shared" si="9"/>
        <v>Hinged_Frame_Type</v>
      </c>
      <c r="FN19" s="348" t="s">
        <v>320</v>
      </c>
      <c r="FP19" s="348" t="s">
        <v>681</v>
      </c>
      <c r="HX19" s="360" t="s">
        <v>761</v>
      </c>
      <c r="HY19" s="360" t="s">
        <v>761</v>
      </c>
      <c r="LJ19" s="350" t="s">
        <v>503</v>
      </c>
      <c r="LK19" s="350">
        <v>2</v>
      </c>
      <c r="LM19" s="350"/>
      <c r="LX19" s="348" t="s">
        <v>896</v>
      </c>
      <c r="LY19" s="361" t="s">
        <v>927</v>
      </c>
      <c r="LZ19" s="361" t="s">
        <v>522</v>
      </c>
      <c r="MA19" s="361"/>
      <c r="MB19" s="354"/>
      <c r="MC19" s="354"/>
      <c r="ME19" s="354"/>
      <c r="MF19" s="354"/>
      <c r="MG19" s="354"/>
      <c r="MH19" s="354"/>
      <c r="NN19" s="348" t="s">
        <v>332</v>
      </c>
      <c r="NO19" s="362"/>
      <c r="NP19" s="362"/>
      <c r="NQ19" s="362"/>
      <c r="NR19" s="362"/>
      <c r="NS19" s="362"/>
      <c r="NT19" s="362"/>
      <c r="NU19" s="362"/>
      <c r="NV19" s="362"/>
      <c r="NW19" s="362" t="s">
        <v>393</v>
      </c>
      <c r="NX19" s="362" t="s">
        <v>393</v>
      </c>
      <c r="NY19" s="362" t="s">
        <v>393</v>
      </c>
      <c r="NZ19" s="362"/>
      <c r="OA19" s="353" t="s">
        <v>388</v>
      </c>
      <c r="OB19" s="362"/>
      <c r="OD19" s="362"/>
      <c r="OE19" s="362"/>
      <c r="OF19" s="362"/>
      <c r="OG19" s="356" t="s">
        <v>393</v>
      </c>
      <c r="PU19" s="353" t="s">
        <v>1471</v>
      </c>
      <c r="PV19" s="353" t="str">
        <f t="shared" si="7"/>
        <v>HelperSpringControlNo</v>
      </c>
      <c r="QL19" s="348" t="s">
        <v>406</v>
      </c>
      <c r="QM19" s="348" t="s">
        <v>406</v>
      </c>
      <c r="SE19" s="436" t="s">
        <v>1223</v>
      </c>
      <c r="SF19" s="437" t="s">
        <v>1240</v>
      </c>
      <c r="SG19" s="436" t="s">
        <v>1223</v>
      </c>
      <c r="SI19"/>
      <c r="SJ19"/>
      <c r="SK19"/>
      <c r="SS19" s="348" t="s">
        <v>1243</v>
      </c>
      <c r="UC19" s="436" t="s">
        <v>1280</v>
      </c>
      <c r="UD19" s="437" t="s">
        <v>1283</v>
      </c>
      <c r="UE19"/>
      <c r="UF19"/>
      <c r="UG19"/>
      <c r="UO19" s="356" t="s">
        <v>1288</v>
      </c>
      <c r="UW19" s="348" t="s">
        <v>2130</v>
      </c>
      <c r="UX19" s="348" t="str">
        <f t="shared" si="8"/>
        <v>Motor Side Yes</v>
      </c>
      <c r="VD19"/>
      <c r="VL19"/>
      <c r="VM19"/>
      <c r="VN19"/>
      <c r="VO19"/>
      <c r="VP19"/>
      <c r="VQ19"/>
      <c r="WD19"/>
      <c r="XF19" s="437" t="s">
        <v>1283</v>
      </c>
      <c r="XG19" s="436" t="s">
        <v>1280</v>
      </c>
      <c r="XH19" s="436" t="s">
        <v>1981</v>
      </c>
      <c r="XI19" s="356" t="s">
        <v>1288</v>
      </c>
      <c r="ZK19"/>
      <c r="ZL19"/>
      <c r="ZM19"/>
      <c r="ZN19"/>
      <c r="ZO19"/>
    </row>
    <row r="20" spans="12:710" s="348" customFormat="1" ht="15">
      <c r="L20" s="348" t="s">
        <v>63</v>
      </c>
      <c r="M20" s="348">
        <v>847</v>
      </c>
      <c r="N20" s="348" t="s">
        <v>7</v>
      </c>
      <c r="O20" s="348">
        <v>217024</v>
      </c>
      <c r="P20" s="348" t="s">
        <v>13</v>
      </c>
      <c r="Q20" s="348">
        <v>2296</v>
      </c>
      <c r="R20" s="348" t="s">
        <v>98</v>
      </c>
      <c r="S20" s="348" t="s">
        <v>21</v>
      </c>
      <c r="T20" s="348">
        <v>2241</v>
      </c>
      <c r="V20" s="349"/>
      <c r="W20" s="348" t="s">
        <v>1094</v>
      </c>
      <c r="AA20" s="350" t="s">
        <v>249</v>
      </c>
      <c r="AJ20" s="348" t="s">
        <v>26</v>
      </c>
      <c r="AP20" s="210" t="s">
        <v>279</v>
      </c>
      <c r="AQ20" t="s">
        <v>283</v>
      </c>
      <c r="AR20" t="s">
        <v>289</v>
      </c>
      <c r="AW20" s="351"/>
      <c r="BK20" s="356" t="s">
        <v>1526</v>
      </c>
      <c r="CS20" s="348" t="s">
        <v>407</v>
      </c>
      <c r="DJ20" s="348" t="s">
        <v>249</v>
      </c>
      <c r="DK20" s="348" t="s">
        <v>249</v>
      </c>
      <c r="DN20" s="352"/>
      <c r="DO20" s="353" t="s">
        <v>509</v>
      </c>
      <c r="DP20" s="353">
        <v>3</v>
      </c>
      <c r="DQ20" s="353">
        <f t="shared" si="5"/>
        <v>2</v>
      </c>
      <c r="DR20" s="354"/>
      <c r="DS20" s="354"/>
      <c r="DT20" s="354"/>
      <c r="DU20" s="354"/>
      <c r="DV20" s="354"/>
      <c r="DW20" s="354"/>
      <c r="DY20" s="354"/>
      <c r="DZ20" s="354"/>
      <c r="EA20" s="354"/>
      <c r="EB20" s="354"/>
      <c r="EC20" s="354"/>
      <c r="ED20" s="354"/>
      <c r="EE20" s="354"/>
      <c r="FF20" s="348" t="s">
        <v>629</v>
      </c>
      <c r="FG20" s="353" t="s">
        <v>301</v>
      </c>
      <c r="FH20" s="357" t="str">
        <f>FH1</f>
        <v>Timber_Double_Hinged_Frame_Type</v>
      </c>
      <c r="FI20" s="358" t="str">
        <f>$FK$1</f>
        <v>Double_Hinged_Frame_Type</v>
      </c>
      <c r="FJ20" s="358" t="str">
        <f t="shared" ref="FJ20:FL20" si="10">$FK$1</f>
        <v>Double_Hinged_Frame_Type</v>
      </c>
      <c r="FK20" s="358" t="str">
        <f t="shared" si="10"/>
        <v>Double_Hinged_Frame_Type</v>
      </c>
      <c r="FL20" s="359" t="str">
        <f t="shared" si="10"/>
        <v>Double_Hinged_Frame_Type</v>
      </c>
      <c r="FN20" s="348" t="s">
        <v>310</v>
      </c>
      <c r="FP20" s="348" t="s">
        <v>868</v>
      </c>
      <c r="HX20" s="360" t="s">
        <v>762</v>
      </c>
      <c r="HY20" s="360" t="s">
        <v>762</v>
      </c>
      <c r="KV20" s="348" t="s">
        <v>224</v>
      </c>
      <c r="LJ20" s="350" t="s">
        <v>505</v>
      </c>
      <c r="LK20" s="350">
        <v>2</v>
      </c>
      <c r="LM20" s="350"/>
      <c r="LX20" s="348" t="s">
        <v>1002</v>
      </c>
      <c r="LY20" s="361" t="s">
        <v>933</v>
      </c>
      <c r="LZ20" s="361" t="s">
        <v>477</v>
      </c>
      <c r="MA20" s="361"/>
      <c r="MB20" s="354"/>
      <c r="MC20" s="354"/>
      <c r="ME20" s="354"/>
      <c r="MF20" s="354"/>
      <c r="MG20" s="354"/>
      <c r="MH20" s="354"/>
      <c r="NN20" s="356" t="s">
        <v>1526</v>
      </c>
      <c r="NO20" s="351"/>
      <c r="NP20" s="351"/>
      <c r="NQ20" s="351"/>
      <c r="NR20" s="351"/>
      <c r="NS20" s="351"/>
      <c r="NT20" s="351"/>
      <c r="NU20" s="351"/>
      <c r="NV20" s="351"/>
      <c r="NW20" s="351"/>
      <c r="NX20" s="351"/>
      <c r="NY20" s="351"/>
      <c r="NZ20" s="351"/>
      <c r="OA20" s="351"/>
      <c r="OB20" s="351"/>
      <c r="OD20" s="351"/>
      <c r="OE20" s="351"/>
      <c r="OF20" s="351"/>
      <c r="PU20" s="353" t="s">
        <v>1472</v>
      </c>
      <c r="PV20" s="353" t="str">
        <f t="shared" si="7"/>
        <v>HelperSpringControlNo</v>
      </c>
      <c r="QL20" s="348" t="s">
        <v>377</v>
      </c>
      <c r="QM20" s="348" t="s">
        <v>377</v>
      </c>
      <c r="RU20" s="348" t="s">
        <v>1181</v>
      </c>
      <c r="SE20" s="436" t="s">
        <v>1238</v>
      </c>
      <c r="SF20" s="437" t="s">
        <v>1244</v>
      </c>
      <c r="SG20" s="436" t="s">
        <v>1236</v>
      </c>
      <c r="SI20"/>
      <c r="SJ20"/>
      <c r="SK20"/>
      <c r="SS20" s="348" t="s">
        <v>1245</v>
      </c>
      <c r="UC20" s="436" t="s">
        <v>1330</v>
      </c>
      <c r="UD20" s="437" t="s">
        <v>1334</v>
      </c>
      <c r="UE20"/>
      <c r="UF20"/>
      <c r="UG20"/>
      <c r="UO20" s="356" t="s">
        <v>1289</v>
      </c>
      <c r="UW20" s="348" t="s">
        <v>2131</v>
      </c>
      <c r="UX20" s="348" t="str">
        <f t="shared" si="8"/>
        <v>Motor Side Yes</v>
      </c>
      <c r="VD20"/>
      <c r="VL20"/>
      <c r="VM20"/>
      <c r="VN20"/>
      <c r="VO20"/>
      <c r="VP20"/>
      <c r="VQ20"/>
      <c r="WD20"/>
      <c r="XF20" s="437" t="s">
        <v>1334</v>
      </c>
      <c r="XG20" s="436" t="s">
        <v>1330</v>
      </c>
      <c r="XH20" s="436" t="s">
        <v>2217</v>
      </c>
      <c r="XI20" s="356" t="s">
        <v>1289</v>
      </c>
    </row>
    <row r="21" spans="12:710" s="348" customFormat="1" ht="15">
      <c r="L21" s="348" t="s">
        <v>65</v>
      </c>
      <c r="M21" s="348">
        <v>21</v>
      </c>
      <c r="N21" s="348" t="s">
        <v>2</v>
      </c>
      <c r="O21" s="348">
        <v>216811</v>
      </c>
      <c r="P21" s="348" t="s">
        <v>14</v>
      </c>
      <c r="Q21" s="348">
        <v>2298</v>
      </c>
      <c r="R21" s="348" t="s">
        <v>100</v>
      </c>
      <c r="S21" s="348" t="s">
        <v>27</v>
      </c>
      <c r="T21" s="348">
        <v>2070</v>
      </c>
      <c r="V21" s="349"/>
      <c r="W21" s="348" t="s">
        <v>1131</v>
      </c>
      <c r="AA21" s="350" t="s">
        <v>439</v>
      </c>
      <c r="AP21" t="s">
        <v>1818</v>
      </c>
      <c r="AQ21" t="s">
        <v>282</v>
      </c>
      <c r="AR21" t="s">
        <v>290</v>
      </c>
      <c r="AW21" s="351"/>
      <c r="CS21" s="348" t="s">
        <v>330</v>
      </c>
      <c r="DJ21" s="348" t="s">
        <v>439</v>
      </c>
      <c r="DK21" s="348" t="s">
        <v>439</v>
      </c>
      <c r="DN21" s="352"/>
      <c r="DO21" s="353" t="s">
        <v>503</v>
      </c>
      <c r="DP21" s="353">
        <v>3</v>
      </c>
      <c r="DQ21" s="353">
        <f t="shared" si="5"/>
        <v>2</v>
      </c>
      <c r="DR21" s="354"/>
      <c r="DS21" s="354"/>
      <c r="DT21" s="354"/>
      <c r="DU21" s="354"/>
      <c r="DV21" s="354"/>
      <c r="DW21" s="354"/>
      <c r="DY21" s="354"/>
      <c r="DZ21" s="354"/>
      <c r="EA21" s="354"/>
      <c r="EB21" s="354"/>
      <c r="EC21" s="354"/>
      <c r="ED21" s="354"/>
      <c r="EE21" s="354"/>
      <c r="FF21" s="348" t="s">
        <v>630</v>
      </c>
      <c r="FG21" s="353" t="s">
        <v>302</v>
      </c>
      <c r="FH21" s="357" t="str">
        <f>$FL$1</f>
        <v>Track_Bi_Fold_Frame_Type</v>
      </c>
      <c r="FI21" s="358" t="str">
        <f>$FL$1</f>
        <v>Track_Bi_Fold_Frame_Type</v>
      </c>
      <c r="FJ21" s="358" t="str">
        <f>$FL$1</f>
        <v>Track_Bi_Fold_Frame_Type</v>
      </c>
      <c r="FK21" s="358" t="str">
        <f>$FL$1</f>
        <v>Track_Bi_Fold_Frame_Type</v>
      </c>
      <c r="FL21" s="359" t="str">
        <f>$FL$1</f>
        <v>Track_Bi_Fold_Frame_Type</v>
      </c>
      <c r="FN21" s="348" t="s">
        <v>309</v>
      </c>
      <c r="FP21" s="348" t="s">
        <v>682</v>
      </c>
      <c r="HX21" s="360" t="s">
        <v>1497</v>
      </c>
      <c r="HY21" s="360" t="s">
        <v>1497</v>
      </c>
      <c r="KV21" s="348" t="s">
        <v>26</v>
      </c>
      <c r="LJ21" s="350" t="s">
        <v>515</v>
      </c>
      <c r="LK21" s="350">
        <v>3</v>
      </c>
      <c r="LM21" s="350"/>
      <c r="LX21" s="348" t="s">
        <v>1003</v>
      </c>
      <c r="LY21" s="361" t="s">
        <v>495</v>
      </c>
      <c r="LZ21" s="361" t="s">
        <v>523</v>
      </c>
      <c r="MA21" s="361"/>
      <c r="MB21" s="354"/>
      <c r="MC21" s="354"/>
      <c r="ME21" s="354"/>
      <c r="MF21" s="354"/>
      <c r="MG21" s="354"/>
      <c r="MH21" s="354"/>
      <c r="NO21" s="351"/>
      <c r="NP21" s="351"/>
      <c r="NQ21" s="351"/>
      <c r="NR21" s="351"/>
      <c r="NS21" s="351"/>
      <c r="NT21" s="351"/>
      <c r="NU21" s="351"/>
      <c r="NV21" s="351"/>
      <c r="NW21" s="351"/>
      <c r="NX21" s="351"/>
      <c r="NY21" s="351"/>
      <c r="NZ21" s="351"/>
      <c r="OA21" s="351"/>
      <c r="OB21" s="351"/>
      <c r="OD21" s="351"/>
      <c r="OE21" s="351"/>
      <c r="OF21" s="351"/>
      <c r="PU21" s="348" t="s">
        <v>1500</v>
      </c>
      <c r="PV21" s="348" t="s">
        <v>1437</v>
      </c>
      <c r="QL21" s="348" t="s">
        <v>1435</v>
      </c>
      <c r="QM21" s="348" t="s">
        <v>1435</v>
      </c>
      <c r="RU21" s="348" t="s">
        <v>1202</v>
      </c>
      <c r="SE21" s="436" t="s">
        <v>1236</v>
      </c>
      <c r="SF21" s="437" t="s">
        <v>1229</v>
      </c>
      <c r="SG21" s="436" t="s">
        <v>1228</v>
      </c>
      <c r="SI21"/>
      <c r="SJ21"/>
      <c r="SK21"/>
      <c r="SS21" s="348" t="s">
        <v>1246</v>
      </c>
      <c r="UC21" s="436" t="s">
        <v>1331</v>
      </c>
      <c r="UD21" s="437" t="s">
        <v>1284</v>
      </c>
      <c r="UE21"/>
      <c r="UF21"/>
      <c r="UG21"/>
      <c r="UO21" s="356" t="s">
        <v>1290</v>
      </c>
      <c r="UW21" s="348" t="s">
        <v>2132</v>
      </c>
      <c r="UX21" s="348" t="str">
        <f t="shared" si="8"/>
        <v>Motor Side Yes</v>
      </c>
      <c r="VD21"/>
      <c r="WD21"/>
      <c r="XF21" s="437" t="s">
        <v>1284</v>
      </c>
      <c r="XG21" s="436" t="s">
        <v>1331</v>
      </c>
      <c r="XH21" s="436" t="s">
        <v>2218</v>
      </c>
      <c r="XI21" s="356" t="s">
        <v>1290</v>
      </c>
    </row>
    <row r="22" spans="12:710" s="348" customFormat="1" ht="15">
      <c r="L22" s="348" t="s">
        <v>67</v>
      </c>
      <c r="M22" s="348">
        <v>22</v>
      </c>
      <c r="N22" s="348" t="s">
        <v>3</v>
      </c>
      <c r="O22" s="348">
        <v>216812</v>
      </c>
      <c r="P22" s="348" t="s">
        <v>16</v>
      </c>
      <c r="Q22" s="348">
        <v>2312</v>
      </c>
      <c r="R22" s="348" t="s">
        <v>104</v>
      </c>
      <c r="S22" s="348" t="s">
        <v>20</v>
      </c>
      <c r="T22" s="348">
        <v>2071</v>
      </c>
      <c r="V22" s="349"/>
      <c r="W22" s="348" t="s">
        <v>1140</v>
      </c>
      <c r="AA22" s="350" t="s">
        <v>430</v>
      </c>
      <c r="AP22" t="s">
        <v>280</v>
      </c>
      <c r="AQ22" t="s">
        <v>284</v>
      </c>
      <c r="AR22" t="s">
        <v>228</v>
      </c>
      <c r="AW22" s="351"/>
      <c r="CS22" s="348" t="s">
        <v>322</v>
      </c>
      <c r="DJ22" s="348" t="s">
        <v>430</v>
      </c>
      <c r="DK22" s="348" t="s">
        <v>430</v>
      </c>
      <c r="DN22" s="352"/>
      <c r="DO22" s="353" t="s">
        <v>505</v>
      </c>
      <c r="DP22" s="353">
        <v>3</v>
      </c>
      <c r="DQ22" s="353">
        <f t="shared" si="5"/>
        <v>2</v>
      </c>
      <c r="DR22" s="354"/>
      <c r="DS22" s="354"/>
      <c r="DT22" s="354"/>
      <c r="DU22" s="354"/>
      <c r="DV22" s="354"/>
      <c r="DW22" s="354"/>
      <c r="DY22" s="354"/>
      <c r="DZ22" s="354"/>
      <c r="EA22" s="354"/>
      <c r="EB22" s="354"/>
      <c r="EC22" s="354"/>
      <c r="ED22" s="354"/>
      <c r="EE22" s="354"/>
      <c r="FF22" s="348" t="s">
        <v>631</v>
      </c>
      <c r="FG22" s="353" t="s">
        <v>303</v>
      </c>
      <c r="FH22" s="357" t="str">
        <f>$FM$1</f>
        <v>Sliding_Frame_Type</v>
      </c>
      <c r="FI22" s="358" t="str">
        <f t="shared" ref="FI22:FL22" si="11">$FM$1</f>
        <v>Sliding_Frame_Type</v>
      </c>
      <c r="FJ22" s="358" t="str">
        <f t="shared" si="11"/>
        <v>Sliding_Frame_Type</v>
      </c>
      <c r="FK22" s="358" t="str">
        <f t="shared" si="11"/>
        <v>Sliding_Frame_Type</v>
      </c>
      <c r="FL22" s="359" t="str">
        <f t="shared" si="11"/>
        <v>Sliding_Frame_Type</v>
      </c>
      <c r="FN22" s="348" t="s">
        <v>311</v>
      </c>
      <c r="FP22" s="348" t="s">
        <v>683</v>
      </c>
      <c r="HX22" s="360" t="s">
        <v>768</v>
      </c>
      <c r="HY22" s="360" t="s">
        <v>768</v>
      </c>
      <c r="KV22" s="348" t="s">
        <v>344</v>
      </c>
      <c r="LJ22" s="350" t="s">
        <v>501</v>
      </c>
      <c r="LK22" s="350">
        <v>5</v>
      </c>
      <c r="LM22" s="350"/>
      <c r="LX22" s="348" t="s">
        <v>1005</v>
      </c>
      <c r="LY22" s="361" t="s">
        <v>513</v>
      </c>
      <c r="LZ22" s="361" t="s">
        <v>478</v>
      </c>
      <c r="MA22" s="361"/>
      <c r="MB22" s="354"/>
      <c r="MC22" s="354"/>
      <c r="ME22" s="354"/>
      <c r="MF22" s="354"/>
      <c r="MG22" s="354"/>
      <c r="MH22" s="354"/>
      <c r="NN22" s="348" t="s">
        <v>303</v>
      </c>
      <c r="NO22" s="351"/>
      <c r="NP22" s="351"/>
      <c r="NQ22" s="351"/>
      <c r="NR22" s="351"/>
      <c r="NS22" s="351"/>
      <c r="NT22" s="351"/>
      <c r="NU22" s="351"/>
      <c r="NV22" s="351"/>
      <c r="NW22" s="351"/>
      <c r="NX22" s="351"/>
      <c r="NY22" s="351"/>
      <c r="NZ22" s="351"/>
      <c r="OA22" s="351"/>
      <c r="OB22" s="351"/>
      <c r="OD22" s="351"/>
      <c r="OE22" s="351"/>
      <c r="OF22" s="351"/>
      <c r="PU22" s="348" t="s">
        <v>1501</v>
      </c>
      <c r="PV22" s="348" t="s">
        <v>1437</v>
      </c>
      <c r="QL22" s="348" t="s">
        <v>326</v>
      </c>
      <c r="QM22" s="348" t="s">
        <v>326</v>
      </c>
      <c r="RU22" s="348" t="s">
        <v>1182</v>
      </c>
      <c r="SE22" s="436" t="s">
        <v>1228</v>
      </c>
      <c r="SF22" s="437" t="s">
        <v>1227</v>
      </c>
      <c r="SG22" s="436" t="s">
        <v>2003</v>
      </c>
      <c r="SI22"/>
      <c r="SJ22"/>
      <c r="SK22"/>
      <c r="UC22" s="436" t="s">
        <v>1332</v>
      </c>
      <c r="UD22" s="437" t="s">
        <v>1285</v>
      </c>
      <c r="UE22"/>
      <c r="UF22"/>
      <c r="UG22"/>
      <c r="UW22" s="348" t="s">
        <v>2133</v>
      </c>
      <c r="UX22" s="348" t="str">
        <f t="shared" si="8"/>
        <v>Motor Side Yes</v>
      </c>
      <c r="VD22" s="348" t="s">
        <v>2053</v>
      </c>
      <c r="WD22"/>
      <c r="XF22" s="437" t="s">
        <v>1285</v>
      </c>
      <c r="XG22" s="436" t="s">
        <v>1332</v>
      </c>
      <c r="XH22" s="436" t="s">
        <v>1982</v>
      </c>
    </row>
    <row r="23" spans="12:710" s="348" customFormat="1" ht="15">
      <c r="L23" s="348" t="s">
        <v>70</v>
      </c>
      <c r="M23" s="348">
        <v>23</v>
      </c>
      <c r="N23" s="348" t="s">
        <v>8</v>
      </c>
      <c r="O23" s="348">
        <v>216922</v>
      </c>
      <c r="P23" s="348" t="s">
        <v>15</v>
      </c>
      <c r="Q23" s="348">
        <v>2316</v>
      </c>
      <c r="R23" s="348" t="s">
        <v>102</v>
      </c>
      <c r="S23" s="348" t="s">
        <v>28</v>
      </c>
      <c r="T23" s="348">
        <v>2074</v>
      </c>
      <c r="V23" s="349"/>
      <c r="W23" s="348" t="s">
        <v>1091</v>
      </c>
      <c r="AQ23" t="s">
        <v>285</v>
      </c>
      <c r="AR23" t="s">
        <v>291</v>
      </c>
      <c r="AW23" s="351"/>
      <c r="CS23" s="348" t="s">
        <v>406</v>
      </c>
      <c r="DN23" s="352"/>
      <c r="DO23" s="353" t="s">
        <v>515</v>
      </c>
      <c r="DP23" s="353">
        <v>6</v>
      </c>
      <c r="DQ23" s="353">
        <f t="shared" si="5"/>
        <v>3</v>
      </c>
      <c r="DR23" s="354"/>
      <c r="DS23" s="354"/>
      <c r="DT23" s="354"/>
      <c r="DU23" s="354"/>
      <c r="DV23" s="354"/>
      <c r="DW23" s="354"/>
      <c r="DY23" s="354"/>
      <c r="DZ23" s="354"/>
      <c r="EA23" s="354"/>
      <c r="EB23" s="354"/>
      <c r="EC23" s="354"/>
      <c r="ED23" s="354"/>
      <c r="EE23" s="354"/>
      <c r="FF23" s="348" t="s">
        <v>632</v>
      </c>
      <c r="FG23" s="353" t="s">
        <v>304</v>
      </c>
      <c r="FH23" s="357" t="str">
        <f>$FN$1</f>
        <v>Fixed_Frame_Type</v>
      </c>
      <c r="FI23" s="358" t="str">
        <f t="shared" ref="FI23:FL23" si="12">$FN$1</f>
        <v>Fixed_Frame_Type</v>
      </c>
      <c r="FJ23" s="358" t="str">
        <f t="shared" si="12"/>
        <v>Fixed_Frame_Type</v>
      </c>
      <c r="FK23" s="358" t="str">
        <f t="shared" si="12"/>
        <v>Fixed_Frame_Type</v>
      </c>
      <c r="FL23" s="359" t="str">
        <f t="shared" si="12"/>
        <v>Fixed_Frame_Type</v>
      </c>
      <c r="FP23" s="348" t="s">
        <v>684</v>
      </c>
      <c r="HX23" s="360" t="s">
        <v>763</v>
      </c>
      <c r="HY23" s="360" t="s">
        <v>763</v>
      </c>
      <c r="KV23" s="348" t="s">
        <v>345</v>
      </c>
      <c r="LJ23" s="350" t="s">
        <v>484</v>
      </c>
      <c r="LK23" s="350">
        <v>0</v>
      </c>
      <c r="LM23" s="350"/>
      <c r="LX23" s="348" t="s">
        <v>1006</v>
      </c>
      <c r="LY23" s="361" t="s">
        <v>506</v>
      </c>
      <c r="LZ23" s="361" t="s">
        <v>524</v>
      </c>
      <c r="MA23" s="361"/>
      <c r="MB23" s="354"/>
      <c r="MC23" s="354"/>
      <c r="ME23" s="354"/>
      <c r="MF23" s="354"/>
      <c r="MG23" s="354"/>
      <c r="MH23" s="354"/>
      <c r="NN23" s="348" t="s">
        <v>302</v>
      </c>
      <c r="NO23" s="351"/>
      <c r="NP23" s="351"/>
      <c r="NQ23" s="351"/>
      <c r="NR23" s="351"/>
      <c r="NS23" s="351"/>
      <c r="NT23" s="351"/>
      <c r="NU23" s="351"/>
      <c r="NV23" s="351"/>
      <c r="NW23" s="351"/>
      <c r="NX23" s="351"/>
      <c r="NY23" s="351"/>
      <c r="NZ23" s="351"/>
      <c r="OA23" s="351"/>
      <c r="OB23" s="351"/>
      <c r="OD23" s="351"/>
      <c r="OE23" s="351"/>
      <c r="OF23" s="351"/>
      <c r="RU23" s="348" t="s">
        <v>1204</v>
      </c>
      <c r="SE23" s="436" t="s">
        <v>1994</v>
      </c>
      <c r="SF23" s="437" t="s">
        <v>1247</v>
      </c>
      <c r="SG23" s="436" t="s">
        <v>1239</v>
      </c>
      <c r="UC23" s="436" t="s">
        <v>2010</v>
      </c>
      <c r="UD23" s="437" t="s">
        <v>1335</v>
      </c>
      <c r="UW23" s="348" t="s">
        <v>2134</v>
      </c>
      <c r="UX23" s="348" t="str">
        <f t="shared" si="8"/>
        <v>Motor Side Yes</v>
      </c>
      <c r="VD23" s="348" t="s">
        <v>2129</v>
      </c>
      <c r="XF23" s="437" t="s">
        <v>1335</v>
      </c>
      <c r="XG23" s="436" t="s">
        <v>2010</v>
      </c>
      <c r="XH23" s="436" t="s">
        <v>1983</v>
      </c>
    </row>
    <row r="24" spans="12:710" s="348" customFormat="1" ht="15">
      <c r="L24" s="348" t="s">
        <v>72</v>
      </c>
      <c r="M24" s="348">
        <v>24</v>
      </c>
      <c r="N24" s="348" t="s">
        <v>4</v>
      </c>
      <c r="O24" s="348">
        <v>216965</v>
      </c>
      <c r="P24" s="348" t="s">
        <v>9</v>
      </c>
      <c r="Q24" s="348">
        <v>2300</v>
      </c>
      <c r="R24" s="348" t="s">
        <v>105</v>
      </c>
      <c r="S24" s="348" t="s">
        <v>21</v>
      </c>
      <c r="T24" s="348">
        <v>2075</v>
      </c>
      <c r="V24" s="349"/>
      <c r="W24" s="348" t="s">
        <v>212</v>
      </c>
      <c r="AQ24" t="s">
        <v>286</v>
      </c>
      <c r="AR24" t="s">
        <v>292</v>
      </c>
      <c r="AW24" s="351"/>
      <c r="BA24" s="360" t="s">
        <v>1776</v>
      </c>
      <c r="BB24" s="360" t="s">
        <v>1778</v>
      </c>
      <c r="BC24" s="348" t="s">
        <v>1807</v>
      </c>
      <c r="BD24" s="348" t="s">
        <v>554</v>
      </c>
      <c r="BI24" s="348" t="s">
        <v>300</v>
      </c>
      <c r="BJ24" s="348" t="str">
        <f>BM2</f>
        <v>Hinge</v>
      </c>
      <c r="DN24" s="352"/>
      <c r="DO24" s="353" t="s">
        <v>501</v>
      </c>
      <c r="DP24" s="353">
        <v>8</v>
      </c>
      <c r="DQ24" s="353">
        <f t="shared" si="5"/>
        <v>5</v>
      </c>
      <c r="DR24" s="354"/>
      <c r="DS24" s="354"/>
      <c r="DT24" s="354"/>
      <c r="DU24" s="354"/>
      <c r="DV24" s="354"/>
      <c r="DW24" s="354"/>
      <c r="DY24" s="354"/>
      <c r="DZ24" s="354"/>
      <c r="EA24" s="354"/>
      <c r="EB24" s="354"/>
      <c r="EC24" s="354"/>
      <c r="ED24" s="354"/>
      <c r="EE24" s="354"/>
      <c r="EM24" t="s">
        <v>605</v>
      </c>
      <c r="EN24" t="s">
        <v>605</v>
      </c>
      <c r="EO24" t="s">
        <v>605</v>
      </c>
      <c r="FF24" s="348" t="s">
        <v>633</v>
      </c>
      <c r="FG24" s="353" t="s">
        <v>332</v>
      </c>
      <c r="FH24" s="357" t="str">
        <f>$FO$1</f>
        <v>NAFrameType</v>
      </c>
      <c r="FI24" s="358" t="str">
        <f t="shared" ref="FI24:FL24" si="13">$FO$1</f>
        <v>NAFrameType</v>
      </c>
      <c r="FJ24" s="358" t="str">
        <f t="shared" si="13"/>
        <v>NAFrameType</v>
      </c>
      <c r="FK24" s="358" t="str">
        <f t="shared" si="13"/>
        <v>NAFrameType</v>
      </c>
      <c r="FL24" s="359" t="str">
        <f t="shared" si="13"/>
        <v>NAFrameType</v>
      </c>
      <c r="FP24" s="348" t="s">
        <v>685</v>
      </c>
      <c r="HX24" s="360" t="s">
        <v>764</v>
      </c>
      <c r="HY24" s="360" t="s">
        <v>764</v>
      </c>
      <c r="KV24" s="348" t="s">
        <v>346</v>
      </c>
      <c r="LJ24" s="350" t="s">
        <v>506</v>
      </c>
      <c r="LK24" s="350">
        <v>0</v>
      </c>
      <c r="LM24" s="350"/>
      <c r="LX24" s="348" t="s">
        <v>1013</v>
      </c>
      <c r="LY24" s="361" t="s">
        <v>925</v>
      </c>
      <c r="LZ24" s="361" t="s">
        <v>520</v>
      </c>
      <c r="MA24" s="361"/>
      <c r="MB24" s="354"/>
      <c r="MC24" s="354"/>
      <c r="ME24" s="354"/>
      <c r="MF24" s="354"/>
      <c r="MG24" s="354"/>
      <c r="MH24" s="354"/>
      <c r="NN24" s="348" t="s">
        <v>998</v>
      </c>
      <c r="NO24" s="351"/>
      <c r="NP24" s="351"/>
      <c r="NQ24" s="351"/>
      <c r="NR24" s="351"/>
      <c r="NS24" s="351"/>
      <c r="NT24" s="351"/>
      <c r="NU24" s="351"/>
      <c r="NV24" s="351"/>
      <c r="NW24" s="351"/>
      <c r="NX24" s="351"/>
      <c r="NY24" s="351"/>
      <c r="NZ24" s="351"/>
      <c r="OA24" s="351"/>
      <c r="OB24" s="351"/>
      <c r="OD24" s="351"/>
      <c r="OE24" s="351"/>
      <c r="OF24" s="351"/>
      <c r="RU24" s="348" t="s">
        <v>1203</v>
      </c>
      <c r="SE24" s="436" t="s">
        <v>1239</v>
      </c>
      <c r="SF24" s="437" t="s">
        <v>1242</v>
      </c>
      <c r="SG24" s="436" t="s">
        <v>1225</v>
      </c>
      <c r="UC24" s="436" t="s">
        <v>1333</v>
      </c>
      <c r="UD24" s="437" t="s">
        <v>1287</v>
      </c>
      <c r="UV24" s="348" t="s">
        <v>1812</v>
      </c>
      <c r="UW24" s="348" t="s">
        <v>2135</v>
      </c>
      <c r="UX24" s="348" t="str">
        <f t="shared" si="8"/>
        <v>Motor Side Yes</v>
      </c>
      <c r="VD24" s="348" t="s">
        <v>2132</v>
      </c>
      <c r="XF24" s="437" t="s">
        <v>1287</v>
      </c>
      <c r="XG24" s="436" t="s">
        <v>1333</v>
      </c>
      <c r="XH24" s="436" t="s">
        <v>1984</v>
      </c>
    </row>
    <row r="25" spans="12:710" s="348" customFormat="1" ht="15">
      <c r="L25" s="348" t="s">
        <v>99</v>
      </c>
      <c r="M25" s="348">
        <v>26</v>
      </c>
      <c r="N25" s="348" t="s">
        <v>5</v>
      </c>
      <c r="O25" s="348">
        <v>216966</v>
      </c>
      <c r="P25" s="348" t="s">
        <v>10</v>
      </c>
      <c r="Q25" s="348">
        <v>2301</v>
      </c>
      <c r="R25" s="348" t="s">
        <v>106</v>
      </c>
      <c r="S25" s="348" t="s">
        <v>22</v>
      </c>
      <c r="T25" s="348">
        <v>2076</v>
      </c>
      <c r="V25" s="363"/>
      <c r="W25" s="348" t="s">
        <v>213</v>
      </c>
      <c r="AN25" s="348" t="s">
        <v>253</v>
      </c>
      <c r="AQ25" t="s">
        <v>287</v>
      </c>
      <c r="AR25" t="s">
        <v>293</v>
      </c>
      <c r="AW25" s="351"/>
      <c r="BA25" s="341" t="s">
        <v>1792</v>
      </c>
      <c r="BB25" s="327" t="s">
        <v>1791</v>
      </c>
      <c r="BC25" s="348" t="s">
        <v>1808</v>
      </c>
      <c r="BD25" s="348" t="s">
        <v>563</v>
      </c>
      <c r="BI25" s="348" t="s">
        <v>301</v>
      </c>
      <c r="BJ25" s="348" t="str">
        <f>BM2</f>
        <v>Hinge</v>
      </c>
      <c r="DN25" s="352"/>
      <c r="DO25" s="353" t="s">
        <v>484</v>
      </c>
      <c r="DP25" s="353">
        <v>2</v>
      </c>
      <c r="DQ25" s="353">
        <f t="shared" si="5"/>
        <v>0</v>
      </c>
      <c r="DR25" s="354"/>
      <c r="DS25" s="354"/>
      <c r="DT25" s="354"/>
      <c r="DU25" s="354"/>
      <c r="DV25" s="354"/>
      <c r="DW25" s="354"/>
      <c r="DY25" s="354"/>
      <c r="DZ25" s="354"/>
      <c r="EA25" s="354"/>
      <c r="EB25" s="354"/>
      <c r="EC25" s="354"/>
      <c r="ED25" s="354"/>
      <c r="EE25" s="354"/>
      <c r="EM25" t="s">
        <v>600</v>
      </c>
      <c r="EN25" t="s">
        <v>600</v>
      </c>
      <c r="EO25" t="s">
        <v>600</v>
      </c>
      <c r="FF25" s="348" t="s">
        <v>317</v>
      </c>
      <c r="FG25" s="353" t="s">
        <v>998</v>
      </c>
      <c r="FH25" s="357" t="str">
        <f>$FI$1</f>
        <v>Pivot_Hinged_Frame_Type</v>
      </c>
      <c r="FI25" s="358" t="str">
        <f t="shared" ref="FI25:FL25" si="14">$FI$1</f>
        <v>Pivot_Hinged_Frame_Type</v>
      </c>
      <c r="FJ25" s="358" t="str">
        <f t="shared" si="14"/>
        <v>Pivot_Hinged_Frame_Type</v>
      </c>
      <c r="FK25" s="358" t="str">
        <f t="shared" si="14"/>
        <v>Pivot_Hinged_Frame_Type</v>
      </c>
      <c r="FL25" s="359" t="str">
        <f t="shared" si="14"/>
        <v>Pivot_Hinged_Frame_Type</v>
      </c>
      <c r="FP25" s="348" t="s">
        <v>686</v>
      </c>
      <c r="HX25" s="360" t="s">
        <v>765</v>
      </c>
      <c r="HY25" s="360" t="s">
        <v>765</v>
      </c>
      <c r="KV25" s="348" t="s">
        <v>347</v>
      </c>
      <c r="LJ25" s="350" t="s">
        <v>491</v>
      </c>
      <c r="LK25" s="350">
        <v>0</v>
      </c>
      <c r="LM25" s="350"/>
      <c r="LX25" s="348" t="s">
        <v>1014</v>
      </c>
      <c r="LY25" s="361" t="s">
        <v>924</v>
      </c>
      <c r="LZ25" s="361"/>
      <c r="MA25" s="354"/>
      <c r="MB25" s="354"/>
      <c r="MC25" s="354"/>
      <c r="ME25" s="354"/>
      <c r="MF25" s="354"/>
      <c r="MG25" s="354"/>
      <c r="MH25" s="354"/>
      <c r="NO25" s="351"/>
      <c r="NP25" s="351"/>
      <c r="NQ25" s="351"/>
      <c r="NR25" s="351"/>
      <c r="NS25" s="351"/>
      <c r="NT25" s="351"/>
      <c r="NU25" s="351"/>
      <c r="NV25" s="351"/>
      <c r="NW25" s="351"/>
      <c r="NX25" s="351"/>
      <c r="NY25" s="351"/>
      <c r="NZ25" s="351"/>
      <c r="OA25" s="351"/>
      <c r="OB25" s="351"/>
      <c r="OD25" s="351"/>
      <c r="OE25" s="351"/>
      <c r="OF25" s="351"/>
      <c r="RU25" s="348" t="s">
        <v>1205</v>
      </c>
      <c r="SE25" s="437" t="s">
        <v>1225</v>
      </c>
      <c r="SF25" s="437" t="s">
        <v>1248</v>
      </c>
      <c r="SG25" s="436" t="s">
        <v>1229</v>
      </c>
      <c r="UC25" s="437" t="s">
        <v>1282</v>
      </c>
      <c r="UD25" s="437" t="s">
        <v>1336</v>
      </c>
      <c r="UV25" s="348" t="s">
        <v>1813</v>
      </c>
      <c r="UW25" s="348" t="s">
        <v>2136</v>
      </c>
      <c r="UX25" s="348" t="str">
        <f t="shared" si="8"/>
        <v>Motor Side Yes</v>
      </c>
      <c r="VD25" s="348" t="s">
        <v>2131</v>
      </c>
      <c r="VY25" t="s">
        <v>2044</v>
      </c>
      <c r="VZ25" t="s">
        <v>2045</v>
      </c>
      <c r="WA25" t="s">
        <v>2046</v>
      </c>
      <c r="WJ25" s="348" t="s">
        <v>2041</v>
      </c>
      <c r="WK25" s="348" t="s">
        <v>2042</v>
      </c>
      <c r="WL25" s="348" t="s">
        <v>2043</v>
      </c>
      <c r="WU25" s="348" t="s">
        <v>2038</v>
      </c>
      <c r="WV25" s="348" t="s">
        <v>2039</v>
      </c>
      <c r="WW25" s="348" t="s">
        <v>2040</v>
      </c>
      <c r="XF25" s="437" t="s">
        <v>1336</v>
      </c>
      <c r="XG25" s="437" t="s">
        <v>1282</v>
      </c>
      <c r="XH25" s="436" t="s">
        <v>2219</v>
      </c>
      <c r="AAC25" t="s">
        <v>2137</v>
      </c>
      <c r="AAD25" s="199" t="s">
        <v>1404</v>
      </c>
      <c r="AAE25" s="199" t="s">
        <v>2336</v>
      </c>
      <c r="AAF25" s="199" t="s">
        <v>2337</v>
      </c>
      <c r="AAG25" s="199" t="s">
        <v>2338</v>
      </c>
      <c r="AAH25" s="199" t="s">
        <v>2339</v>
      </c>
    </row>
    <row r="26" spans="12:710" ht="15">
      <c r="L26" t="s">
        <v>101</v>
      </c>
      <c r="M26">
        <v>27</v>
      </c>
      <c r="N26" t="s">
        <v>6</v>
      </c>
      <c r="O26">
        <v>216967</v>
      </c>
      <c r="P26" t="s">
        <v>11</v>
      </c>
      <c r="Q26">
        <v>2302</v>
      </c>
      <c r="R26" t="s">
        <v>107</v>
      </c>
      <c r="S26" t="s">
        <v>69</v>
      </c>
      <c r="T26">
        <v>2077</v>
      </c>
      <c r="V26" s="1"/>
      <c r="W26" t="s">
        <v>1092</v>
      </c>
      <c r="AN26" t="s">
        <v>266</v>
      </c>
      <c r="AR26" t="s">
        <v>294</v>
      </c>
      <c r="AW26" s="36"/>
      <c r="BA26" s="341" t="s">
        <v>997</v>
      </c>
      <c r="BB26" s="327" t="s">
        <v>1788</v>
      </c>
      <c r="BC26" t="s">
        <v>1809</v>
      </c>
      <c r="BD26" t="s">
        <v>81</v>
      </c>
      <c r="BI26" t="s">
        <v>302</v>
      </c>
      <c r="BJ26" t="str">
        <f>BM2</f>
        <v>Hinge</v>
      </c>
      <c r="DN26" s="106"/>
      <c r="DO26" s="199" t="s">
        <v>506</v>
      </c>
      <c r="DP26" s="199">
        <v>2</v>
      </c>
      <c r="DQ26" s="199">
        <f t="shared" si="5"/>
        <v>0</v>
      </c>
      <c r="FF26" t="s">
        <v>634</v>
      </c>
      <c r="FP26" t="s">
        <v>687</v>
      </c>
      <c r="HX26" s="327" t="s">
        <v>1786</v>
      </c>
      <c r="KV26" t="s">
        <v>348</v>
      </c>
      <c r="LJ26" t="s">
        <v>495</v>
      </c>
      <c r="LK26">
        <v>0</v>
      </c>
      <c r="LX26" s="186" t="s">
        <v>1019</v>
      </c>
      <c r="LY26" s="186" t="s">
        <v>931</v>
      </c>
      <c r="NO26" s="36"/>
      <c r="NP26" s="36"/>
      <c r="NQ26" s="36"/>
      <c r="NR26" s="36"/>
      <c r="NS26" s="36"/>
      <c r="NT26" s="36"/>
      <c r="NU26" s="36"/>
      <c r="NV26" s="36"/>
      <c r="NW26" s="36"/>
      <c r="NX26" s="36"/>
      <c r="NY26" s="36"/>
      <c r="NZ26" s="36"/>
      <c r="OA26" s="36"/>
      <c r="OB26" s="36"/>
      <c r="OC26" s="36"/>
      <c r="OD26" s="36"/>
      <c r="OE26" s="36"/>
      <c r="RB26" s="348"/>
      <c r="RU26" s="348" t="s">
        <v>1183</v>
      </c>
      <c r="RV26" s="348"/>
      <c r="SE26" s="437" t="s">
        <v>1240</v>
      </c>
      <c r="SF26" s="436" t="s">
        <v>1230</v>
      </c>
      <c r="SG26" s="436" t="s">
        <v>1995</v>
      </c>
      <c r="SH26" s="348"/>
      <c r="SI26" s="348"/>
      <c r="SJ26" s="348"/>
      <c r="SK26" s="348"/>
      <c r="SM26" s="348"/>
      <c r="TB26" s="348"/>
      <c r="TC26" s="348"/>
      <c r="TD26" s="348"/>
      <c r="TE26" s="348"/>
      <c r="TF26" s="348"/>
      <c r="TG26" s="348"/>
      <c r="TH26" s="348"/>
      <c r="TI26" s="348"/>
      <c r="TJ26" s="348"/>
      <c r="TK26" s="348"/>
      <c r="TL26" s="348"/>
      <c r="TM26" s="348"/>
      <c r="TN26" s="348"/>
      <c r="TO26" s="348"/>
      <c r="TP26" s="348"/>
      <c r="TQ26" s="348"/>
      <c r="TR26" s="348"/>
      <c r="TS26" s="348"/>
      <c r="TT26" s="348"/>
      <c r="TU26" s="348"/>
      <c r="TV26" s="348"/>
      <c r="TW26" s="348"/>
      <c r="TX26" s="348"/>
      <c r="TY26" s="348"/>
      <c r="TZ26" s="348"/>
      <c r="UA26" s="348"/>
      <c r="UB26" s="348"/>
      <c r="UC26" s="437" t="s">
        <v>1283</v>
      </c>
      <c r="UD26" s="436" t="s">
        <v>1337</v>
      </c>
      <c r="UE26" s="348"/>
      <c r="UF26" s="348"/>
      <c r="UG26" s="348"/>
      <c r="UI26" s="348"/>
      <c r="UV26" t="s">
        <v>2131</v>
      </c>
      <c r="UW26" s="348" t="s">
        <v>332</v>
      </c>
      <c r="UX26" t="str">
        <f>$UZ$13</f>
        <v>Motor Side No</v>
      </c>
      <c r="VD26" s="348" t="s">
        <v>2130</v>
      </c>
      <c r="VM26" t="s">
        <v>1174</v>
      </c>
      <c r="VN26" t="s">
        <v>1175</v>
      </c>
      <c r="VO26" t="s">
        <v>1852</v>
      </c>
      <c r="VP26" t="s">
        <v>1176</v>
      </c>
      <c r="VQ26" t="s">
        <v>2137</v>
      </c>
      <c r="VY26" s="348" t="s">
        <v>1177</v>
      </c>
      <c r="VZ26" s="348" t="s">
        <v>1215</v>
      </c>
      <c r="WA26" s="348" t="s">
        <v>1177</v>
      </c>
      <c r="WD26" s="348"/>
      <c r="WJ26" t="s">
        <v>1177</v>
      </c>
      <c r="WK26" t="s">
        <v>1215</v>
      </c>
      <c r="WL26" t="s">
        <v>1177</v>
      </c>
      <c r="WU26" t="s">
        <v>1177</v>
      </c>
      <c r="WV26" t="s">
        <v>1215</v>
      </c>
      <c r="WW26" t="s">
        <v>1177</v>
      </c>
      <c r="XF26" s="436" t="s">
        <v>1337</v>
      </c>
      <c r="XG26" s="437" t="s">
        <v>1283</v>
      </c>
      <c r="XH26" s="436" t="s">
        <v>2220</v>
      </c>
      <c r="XS26" s="348"/>
      <c r="XT26" s="348"/>
      <c r="XU26" s="348"/>
      <c r="XV26" s="348"/>
      <c r="XW26" s="348"/>
      <c r="XX26" s="348"/>
      <c r="XY26" s="348"/>
      <c r="XZ26" s="348"/>
      <c r="YA26" s="348"/>
      <c r="YB26" s="348"/>
      <c r="YC26" s="348"/>
      <c r="YD26" s="348"/>
      <c r="YE26" s="348"/>
      <c r="YF26" s="348"/>
      <c r="YG26" s="348"/>
      <c r="YH26" s="348"/>
      <c r="YI26" s="348"/>
      <c r="YJ26" s="348"/>
      <c r="YK26" s="348"/>
      <c r="YL26" s="348"/>
      <c r="YM26" s="348"/>
      <c r="YN26" s="348"/>
      <c r="YO26" s="348"/>
      <c r="YP26" s="348"/>
      <c r="YQ26" s="348"/>
      <c r="YR26" s="348"/>
      <c r="ZK26" s="348"/>
      <c r="ZL26" s="348"/>
      <c r="ZM26" s="348"/>
      <c r="ZN26" s="348"/>
      <c r="ZO26" s="348"/>
      <c r="AAC26" s="353" t="s">
        <v>1206</v>
      </c>
      <c r="AAD26" s="353">
        <v>6.3</v>
      </c>
      <c r="AAE26" s="199">
        <v>200</v>
      </c>
      <c r="AAF26" s="199">
        <v>3000</v>
      </c>
      <c r="AAG26" s="199">
        <v>300</v>
      </c>
      <c r="AAH26" s="199">
        <v>2700</v>
      </c>
    </row>
    <row r="27" spans="12:710" ht="15">
      <c r="L27" t="s">
        <v>74</v>
      </c>
      <c r="M27">
        <v>501</v>
      </c>
      <c r="N27" t="s">
        <v>7</v>
      </c>
      <c r="O27">
        <v>216968</v>
      </c>
      <c r="P27" t="s">
        <v>12</v>
      </c>
      <c r="Q27">
        <v>2303</v>
      </c>
      <c r="R27" t="s">
        <v>108</v>
      </c>
      <c r="S27" t="s">
        <v>28</v>
      </c>
      <c r="T27">
        <v>2072</v>
      </c>
      <c r="V27" s="1"/>
      <c r="W27" t="s">
        <v>214</v>
      </c>
      <c r="AN27" t="s">
        <v>268</v>
      </c>
      <c r="AR27" t="s">
        <v>295</v>
      </c>
      <c r="AW27" s="36"/>
      <c r="BA27" s="341" t="s">
        <v>1780</v>
      </c>
      <c r="BB27" s="327" t="s">
        <v>1781</v>
      </c>
      <c r="BC27" t="s">
        <v>1810</v>
      </c>
      <c r="BD27" t="s">
        <v>558</v>
      </c>
      <c r="BI27" t="s">
        <v>303</v>
      </c>
      <c r="BJ27" t="str">
        <f>BM2</f>
        <v>Hinge</v>
      </c>
      <c r="DN27" s="106"/>
      <c r="DO27" s="199" t="s">
        <v>491</v>
      </c>
      <c r="DP27" s="199">
        <v>3</v>
      </c>
      <c r="DQ27" s="199">
        <f t="shared" si="5"/>
        <v>0</v>
      </c>
      <c r="FF27" t="s">
        <v>635</v>
      </c>
      <c r="FP27" t="s">
        <v>688</v>
      </c>
      <c r="LJ27" t="s">
        <v>492</v>
      </c>
      <c r="LK27">
        <v>0</v>
      </c>
      <c r="LX27" s="186" t="s">
        <v>1024</v>
      </c>
      <c r="LY27" s="186" t="s">
        <v>930</v>
      </c>
      <c r="RU27" t="s">
        <v>1201</v>
      </c>
      <c r="SE27" s="437" t="s">
        <v>1244</v>
      </c>
      <c r="SF27" s="436" t="s">
        <v>1245</v>
      </c>
      <c r="SG27" s="436" t="s">
        <v>1997</v>
      </c>
      <c r="SI27" s="348"/>
      <c r="SJ27" s="348"/>
      <c r="SK27" s="348"/>
      <c r="UC27" s="437" t="s">
        <v>1334</v>
      </c>
      <c r="UD27" s="436" t="s">
        <v>1289</v>
      </c>
      <c r="UE27" s="348"/>
      <c r="UF27" s="348"/>
      <c r="UG27" s="348"/>
      <c r="UV27" t="s">
        <v>2132</v>
      </c>
      <c r="UW27" t="s">
        <v>2329</v>
      </c>
      <c r="UX27" s="348" t="str">
        <f>$VA$13</f>
        <v>Motor Left</v>
      </c>
      <c r="UZ27" s="483" t="s">
        <v>1299</v>
      </c>
      <c r="VD27" s="348"/>
      <c r="VL27" t="s">
        <v>1206</v>
      </c>
      <c r="VM27" t="str">
        <f>$UU$1</f>
        <v>Control Corded Standard</v>
      </c>
      <c r="VN27" t="str">
        <f>$UU$1</f>
        <v>Control Corded Standard</v>
      </c>
      <c r="VO27" t="str">
        <f>$UU$1</f>
        <v>Control Corded Standard</v>
      </c>
      <c r="VP27" t="str">
        <f>$UU$1</f>
        <v>Control Corded Standard</v>
      </c>
      <c r="VQ27" t="str">
        <f>$UU$1</f>
        <v>Control Corded Standard</v>
      </c>
      <c r="VY27" s="348" t="s">
        <v>1178</v>
      </c>
      <c r="VZ27" s="348" t="s">
        <v>1440</v>
      </c>
      <c r="WA27" s="348" t="s">
        <v>1178</v>
      </c>
      <c r="WD27" s="348"/>
      <c r="WJ27" t="s">
        <v>1853</v>
      </c>
      <c r="WK27" t="s">
        <v>1440</v>
      </c>
      <c r="WL27" t="s">
        <v>1853</v>
      </c>
      <c r="WU27" t="s">
        <v>1178</v>
      </c>
      <c r="WV27" t="s">
        <v>1440</v>
      </c>
      <c r="WW27" t="s">
        <v>1178</v>
      </c>
      <c r="XF27" s="436" t="s">
        <v>1289</v>
      </c>
      <c r="XG27" s="437" t="s">
        <v>1334</v>
      </c>
      <c r="XH27" s="436" t="s">
        <v>1985</v>
      </c>
      <c r="ZK27" s="348"/>
      <c r="ZL27" s="348"/>
      <c r="ZM27" s="348"/>
      <c r="ZN27" s="348"/>
      <c r="ZO27" s="348"/>
      <c r="AAC27" s="353" t="s">
        <v>1213</v>
      </c>
      <c r="AAD27" s="353">
        <v>3.8</v>
      </c>
      <c r="AAE27" s="199">
        <v>450</v>
      </c>
      <c r="AAF27" s="199">
        <v>3000</v>
      </c>
      <c r="AAG27" s="199">
        <v>300</v>
      </c>
      <c r="AAH27" s="199">
        <v>2700</v>
      </c>
    </row>
    <row r="28" spans="12:710" ht="15">
      <c r="L28" t="s">
        <v>76</v>
      </c>
      <c r="M28">
        <v>520</v>
      </c>
      <c r="P28" t="s">
        <v>13</v>
      </c>
      <c r="Q28">
        <v>2304</v>
      </c>
      <c r="R28" t="s">
        <v>109</v>
      </c>
      <c r="S28" t="s">
        <v>21</v>
      </c>
      <c r="T28">
        <v>2073</v>
      </c>
      <c r="V28" s="89"/>
      <c r="W28" t="s">
        <v>1093</v>
      </c>
      <c r="AA28" s="178" t="s">
        <v>245</v>
      </c>
      <c r="AR28" t="s">
        <v>296</v>
      </c>
      <c r="AW28" s="36"/>
      <c r="BA28" s="341"/>
      <c r="BB28" s="327"/>
      <c r="BD28" t="s">
        <v>561</v>
      </c>
      <c r="BI28" t="s">
        <v>304</v>
      </c>
      <c r="BJ28" t="str">
        <f>BN2</f>
        <v>HingeNA</v>
      </c>
      <c r="DN28" s="106"/>
      <c r="DO28" s="199" t="s">
        <v>495</v>
      </c>
      <c r="DP28" s="199">
        <v>3</v>
      </c>
      <c r="DQ28" s="199">
        <f t="shared" si="5"/>
        <v>0</v>
      </c>
      <c r="FF28" t="s">
        <v>636</v>
      </c>
      <c r="FP28" t="s">
        <v>689</v>
      </c>
      <c r="LJ28" t="s">
        <v>485</v>
      </c>
      <c r="LK28">
        <v>0</v>
      </c>
      <c r="LX28" s="186" t="s">
        <v>1025</v>
      </c>
      <c r="LY28" s="186" t="s">
        <v>511</v>
      </c>
      <c r="RU28" t="s">
        <v>1200</v>
      </c>
      <c r="SE28" s="437" t="s">
        <v>1229</v>
      </c>
      <c r="SF28" s="436" t="s">
        <v>1226</v>
      </c>
      <c r="SG28" s="436" t="s">
        <v>1226</v>
      </c>
      <c r="SI28" s="348"/>
      <c r="SJ28" s="348"/>
      <c r="SK28" s="348"/>
      <c r="UC28" s="437" t="s">
        <v>1284</v>
      </c>
      <c r="UD28" s="436" t="s">
        <v>2015</v>
      </c>
      <c r="UE28" s="348"/>
      <c r="UF28" s="348"/>
      <c r="UG28" s="348"/>
      <c r="UW28" t="s">
        <v>2330</v>
      </c>
      <c r="UX28" s="348" t="str">
        <f>$VB$13</f>
        <v>Motor Right</v>
      </c>
      <c r="UZ28" s="484" t="s">
        <v>2322</v>
      </c>
      <c r="VD28" s="348"/>
      <c r="VL28" t="s">
        <v>1213</v>
      </c>
      <c r="VM28" t="str">
        <f>$UV$1</f>
        <v>Control Corded Day Night</v>
      </c>
      <c r="VN28" t="str">
        <f>$UV$1</f>
        <v>Control Corded Day Night</v>
      </c>
      <c r="VO28" t="str">
        <f>$UV$1</f>
        <v>Control Corded Day Night</v>
      </c>
      <c r="VP28" t="str">
        <f>$UV$1</f>
        <v>Control Corded Day Night</v>
      </c>
      <c r="VQ28" t="str">
        <f>$UV$1</f>
        <v>Control Corded Day Night</v>
      </c>
      <c r="VY28" s="348" t="s">
        <v>1187</v>
      </c>
      <c r="VZ28" s="348"/>
      <c r="WA28" s="348" t="s">
        <v>1187</v>
      </c>
      <c r="WD28" s="348"/>
      <c r="WJ28" t="s">
        <v>1178</v>
      </c>
      <c r="WL28" t="s">
        <v>1178</v>
      </c>
      <c r="XF28" s="436" t="s">
        <v>2015</v>
      </c>
      <c r="XG28" s="437" t="s">
        <v>1284</v>
      </c>
      <c r="XH28" s="436" t="s">
        <v>1986</v>
      </c>
      <c r="AAC28" s="353" t="s">
        <v>1207</v>
      </c>
      <c r="AAD28" s="353">
        <v>6.3</v>
      </c>
      <c r="AAE28" s="199">
        <v>450</v>
      </c>
      <c r="AAF28" s="199">
        <v>3000</v>
      </c>
      <c r="AAG28" s="199">
        <v>300</v>
      </c>
      <c r="AAH28" s="199">
        <v>2700</v>
      </c>
    </row>
    <row r="29" spans="12:710" ht="15">
      <c r="L29" t="s">
        <v>19</v>
      </c>
      <c r="M29">
        <v>525</v>
      </c>
      <c r="P29" t="s">
        <v>14</v>
      </c>
      <c r="Q29">
        <v>2305</v>
      </c>
      <c r="R29" t="s">
        <v>110</v>
      </c>
      <c r="S29" t="s">
        <v>29</v>
      </c>
      <c r="T29">
        <v>2169</v>
      </c>
      <c r="V29" s="4"/>
      <c r="W29" t="s">
        <v>1130</v>
      </c>
      <c r="AA29" s="178" t="s">
        <v>246</v>
      </c>
      <c r="AR29" t="s">
        <v>297</v>
      </c>
      <c r="AW29" s="36"/>
      <c r="BD29" t="s">
        <v>557</v>
      </c>
      <c r="BI29" t="s">
        <v>332</v>
      </c>
      <c r="BJ29" t="str">
        <f>BN2</f>
        <v>HingeNA</v>
      </c>
      <c r="DN29" s="106"/>
      <c r="DO29" s="199" t="s">
        <v>492</v>
      </c>
      <c r="DP29" s="199">
        <v>4</v>
      </c>
      <c r="DQ29" s="199">
        <f t="shared" si="5"/>
        <v>0</v>
      </c>
      <c r="FF29" t="s">
        <v>316</v>
      </c>
      <c r="FP29" t="s">
        <v>690</v>
      </c>
      <c r="LJ29" t="s">
        <v>507</v>
      </c>
      <c r="LK29">
        <v>0</v>
      </c>
      <c r="LX29" s="186" t="s">
        <v>1020</v>
      </c>
      <c r="LY29" s="186" t="s">
        <v>514</v>
      </c>
      <c r="RU29" t="s">
        <v>1199</v>
      </c>
      <c r="SE29" s="436" t="s">
        <v>1995</v>
      </c>
      <c r="SF29" s="436" t="s">
        <v>1246</v>
      </c>
      <c r="SI29" s="348"/>
      <c r="SJ29" s="348"/>
      <c r="SK29" s="348"/>
      <c r="UC29" s="436" t="s">
        <v>2011</v>
      </c>
      <c r="UD29" s="436" t="s">
        <v>1290</v>
      </c>
      <c r="UE29" s="348"/>
      <c r="UF29" s="348"/>
      <c r="UG29" s="348"/>
      <c r="UZ29" s="484" t="s">
        <v>2323</v>
      </c>
      <c r="VD29" s="348" t="s">
        <v>2133</v>
      </c>
      <c r="VL29" t="s">
        <v>1207</v>
      </c>
      <c r="VM29" t="str">
        <f>$UW$1</f>
        <v>Control Corded Top Down  Bottom Up</v>
      </c>
      <c r="VN29" t="str">
        <f>$UW$1</f>
        <v>Control Corded Top Down  Bottom Up</v>
      </c>
      <c r="VO29" t="str">
        <f>$UW$1</f>
        <v>Control Corded Top Down  Bottom Up</v>
      </c>
      <c r="VP29" t="str">
        <f>$UW$1</f>
        <v>Control Corded Top Down  Bottom Up</v>
      </c>
      <c r="VQ29" t="str">
        <f>$UW$1</f>
        <v>Control Corded Top Down  Bottom Up</v>
      </c>
      <c r="VY29" s="348" t="s">
        <v>1188</v>
      </c>
      <c r="VZ29" s="348"/>
      <c r="WA29" s="348" t="s">
        <v>1188</v>
      </c>
      <c r="WD29" s="348"/>
      <c r="WJ29" t="s">
        <v>1855</v>
      </c>
      <c r="WL29" t="s">
        <v>1855</v>
      </c>
      <c r="XF29" s="436" t="s">
        <v>1290</v>
      </c>
      <c r="XG29" s="436" t="s">
        <v>2011</v>
      </c>
      <c r="XH29" s="436" t="s">
        <v>2221</v>
      </c>
      <c r="AAC29" s="353" t="s">
        <v>1201</v>
      </c>
      <c r="AAD29" s="353">
        <v>4.04</v>
      </c>
      <c r="AAE29" s="199">
        <v>250</v>
      </c>
      <c r="AAF29" s="199">
        <v>2400</v>
      </c>
      <c r="AAG29" s="199">
        <v>300</v>
      </c>
      <c r="AAH29" s="199">
        <v>2100</v>
      </c>
    </row>
    <row r="30" spans="12:710" ht="15">
      <c r="L30" t="s">
        <v>81</v>
      </c>
      <c r="M30">
        <v>657</v>
      </c>
      <c r="P30" t="s">
        <v>16</v>
      </c>
      <c r="Q30">
        <v>2311</v>
      </c>
      <c r="R30" t="s">
        <v>112</v>
      </c>
      <c r="S30" t="s">
        <v>23</v>
      </c>
      <c r="T30">
        <v>2170</v>
      </c>
      <c r="V30" s="1"/>
      <c r="W30" t="s">
        <v>1141</v>
      </c>
      <c r="AA30" s="178" t="s">
        <v>247</v>
      </c>
      <c r="AW30" s="36"/>
      <c r="BD30" t="s">
        <v>553</v>
      </c>
      <c r="BI30" t="s">
        <v>998</v>
      </c>
      <c r="BJ30" t="s">
        <v>1000</v>
      </c>
      <c r="DJ30" t="s">
        <v>245</v>
      </c>
      <c r="DK30" t="s">
        <v>245</v>
      </c>
      <c r="DN30" s="106"/>
      <c r="DO30" s="199" t="s">
        <v>485</v>
      </c>
      <c r="DP30" s="199">
        <v>4</v>
      </c>
      <c r="DQ30" s="199">
        <f t="shared" si="5"/>
        <v>0</v>
      </c>
      <c r="FF30" t="s">
        <v>637</v>
      </c>
      <c r="FP30" t="s">
        <v>691</v>
      </c>
      <c r="LJ30" t="s">
        <v>486</v>
      </c>
      <c r="LK30">
        <v>0</v>
      </c>
      <c r="LX30" s="186" t="s">
        <v>1021</v>
      </c>
      <c r="RU30" t="s">
        <v>1184</v>
      </c>
      <c r="SE30" s="436" t="s">
        <v>1996</v>
      </c>
      <c r="SI30" s="348"/>
      <c r="SJ30" s="348"/>
      <c r="SK30" s="348"/>
      <c r="UC30" s="436" t="s">
        <v>2012</v>
      </c>
      <c r="UE30" s="348"/>
      <c r="UF30" s="348"/>
      <c r="UG30" s="348"/>
      <c r="VD30" s="348" t="s">
        <v>2134</v>
      </c>
      <c r="VL30" t="s">
        <v>1201</v>
      </c>
      <c r="VM30" t="str">
        <f>$UX$1</f>
        <v>Control Cordless Standard</v>
      </c>
      <c r="VN30" t="str">
        <f>$UX$1</f>
        <v>Control Cordless Standard</v>
      </c>
      <c r="VO30" t="str">
        <f>$UX$1</f>
        <v>Control Cordless Standard</v>
      </c>
      <c r="VP30" t="str">
        <f>$UX$1</f>
        <v>Control Cordless Standard</v>
      </c>
      <c r="VQ30" t="str">
        <f>$UX$1</f>
        <v>Control Cordless Standard</v>
      </c>
      <c r="VY30" s="348" t="s">
        <v>1186</v>
      </c>
      <c r="VZ30" s="348"/>
      <c r="WA30" s="348" t="s">
        <v>1186</v>
      </c>
      <c r="WD30" s="348"/>
      <c r="WJ30" t="s">
        <v>1854</v>
      </c>
      <c r="WL30" t="s">
        <v>1854</v>
      </c>
      <c r="XF30" s="436" t="s">
        <v>1322</v>
      </c>
      <c r="XG30" s="436" t="s">
        <v>2012</v>
      </c>
      <c r="XH30" s="436" t="s">
        <v>1987</v>
      </c>
      <c r="AAC30" s="353" t="s">
        <v>1212</v>
      </c>
      <c r="AAD30" s="353">
        <v>4.04</v>
      </c>
      <c r="AAE30" s="199">
        <v>550</v>
      </c>
      <c r="AAF30" s="199">
        <v>2400</v>
      </c>
      <c r="AAG30" s="199">
        <v>300</v>
      </c>
      <c r="AAH30" s="199">
        <v>2100</v>
      </c>
    </row>
    <row r="31" spans="12:710" ht="15">
      <c r="L31" t="s">
        <v>84</v>
      </c>
      <c r="M31">
        <v>658</v>
      </c>
      <c r="P31" t="s">
        <v>15</v>
      </c>
      <c r="Q31">
        <v>2314</v>
      </c>
      <c r="R31" t="s">
        <v>111</v>
      </c>
      <c r="S31" t="s">
        <v>24</v>
      </c>
      <c r="T31">
        <v>2171</v>
      </c>
      <c r="V31" s="1"/>
      <c r="W31" t="s">
        <v>215</v>
      </c>
      <c r="AA31" s="178" t="s">
        <v>248</v>
      </c>
      <c r="AR31" s="35" t="s">
        <v>554</v>
      </c>
      <c r="AW31" s="36"/>
      <c r="BD31" t="s">
        <v>555</v>
      </c>
      <c r="DJ31" t="s">
        <v>246</v>
      </c>
      <c r="DK31" t="s">
        <v>246</v>
      </c>
      <c r="DN31" s="106"/>
      <c r="DO31" s="199" t="s">
        <v>507</v>
      </c>
      <c r="DP31" s="199">
        <v>4</v>
      </c>
      <c r="DQ31" s="199">
        <f t="shared" si="5"/>
        <v>0</v>
      </c>
      <c r="FF31" s="327" t="s">
        <v>1782</v>
      </c>
      <c r="FP31" t="s">
        <v>692</v>
      </c>
      <c r="LJ31" t="s">
        <v>508</v>
      </c>
      <c r="LK31">
        <v>0</v>
      </c>
      <c r="LX31" s="186" t="s">
        <v>1007</v>
      </c>
      <c r="SE31" s="437" t="s">
        <v>1227</v>
      </c>
      <c r="SG31" s="348"/>
      <c r="UC31" s="437" t="s">
        <v>1285</v>
      </c>
      <c r="VD31" s="348" t="s">
        <v>2135</v>
      </c>
      <c r="VL31" t="s">
        <v>1212</v>
      </c>
      <c r="VM31" t="str">
        <f>$UY$1</f>
        <v>Control Cordless Day Night</v>
      </c>
      <c r="VN31" t="str">
        <f>$UY$1</f>
        <v>Control Cordless Day Night</v>
      </c>
      <c r="VO31" t="str">
        <f>$UY$1</f>
        <v>Control Cordless Day Night</v>
      </c>
      <c r="VP31" t="str">
        <f>$UY$1</f>
        <v>Control Cordless Day Night</v>
      </c>
      <c r="VQ31" t="str">
        <f>$UY$1</f>
        <v>Control Cordless Day Night</v>
      </c>
      <c r="VY31" s="348" t="s">
        <v>1190</v>
      </c>
      <c r="VZ31" s="348"/>
      <c r="WA31" s="348" t="s">
        <v>1190</v>
      </c>
      <c r="WJ31" t="s">
        <v>1185</v>
      </c>
      <c r="WL31" t="s">
        <v>1185</v>
      </c>
      <c r="XF31" s="436" t="s">
        <v>1323</v>
      </c>
      <c r="XG31" s="437" t="s">
        <v>1285</v>
      </c>
      <c r="XH31" s="436" t="s">
        <v>2222</v>
      </c>
      <c r="AAC31" s="353" t="s">
        <v>1184</v>
      </c>
      <c r="AAD31" s="353">
        <v>4.04</v>
      </c>
      <c r="AAE31" s="199">
        <v>550</v>
      </c>
      <c r="AAF31" s="199">
        <v>2400</v>
      </c>
      <c r="AAG31" s="199">
        <v>300</v>
      </c>
      <c r="AAH31" s="199">
        <v>2100</v>
      </c>
    </row>
    <row r="32" spans="12:710" ht="15">
      <c r="L32" t="s">
        <v>87</v>
      </c>
      <c r="M32">
        <v>659</v>
      </c>
      <c r="S32" t="s">
        <v>78</v>
      </c>
      <c r="T32">
        <v>2172</v>
      </c>
      <c r="V32" s="1"/>
      <c r="W32" t="s">
        <v>1090</v>
      </c>
      <c r="AA32" s="178" t="s">
        <v>249</v>
      </c>
      <c r="AR32" s="35" t="s">
        <v>555</v>
      </c>
      <c r="AW32" s="36"/>
      <c r="BD32" t="s">
        <v>562</v>
      </c>
      <c r="DJ32" t="s">
        <v>247</v>
      </c>
      <c r="DK32" t="s">
        <v>247</v>
      </c>
      <c r="DN32" s="106"/>
      <c r="DO32" s="199" t="s">
        <v>486</v>
      </c>
      <c r="DP32" s="199">
        <v>6</v>
      </c>
      <c r="DQ32" s="199">
        <f t="shared" si="5"/>
        <v>0</v>
      </c>
      <c r="FF32" t="s">
        <v>638</v>
      </c>
      <c r="FP32" t="s">
        <v>693</v>
      </c>
      <c r="LJ32" t="s">
        <v>487</v>
      </c>
      <c r="LK32">
        <v>0</v>
      </c>
      <c r="LX32" s="186" t="s">
        <v>1008</v>
      </c>
      <c r="SE32" s="437" t="s">
        <v>1247</v>
      </c>
      <c r="SG32" s="348"/>
      <c r="UC32" s="437" t="s">
        <v>1335</v>
      </c>
      <c r="VD32" t="s">
        <v>2136</v>
      </c>
      <c r="VL32" t="s">
        <v>1184</v>
      </c>
      <c r="VM32" t="str">
        <f>$UZ$1</f>
        <v>Control Cordless Top Down  Bottom Up</v>
      </c>
      <c r="VN32" t="str">
        <f>$UZ$1</f>
        <v>Control Cordless Top Down  Bottom Up</v>
      </c>
      <c r="VO32" t="str">
        <f>$UZ$1</f>
        <v>Control Cordless Top Down  Bottom Up</v>
      </c>
      <c r="VP32" t="str">
        <f>$UZ$1</f>
        <v>Control Cordless Top Down  Bottom Up</v>
      </c>
      <c r="VQ32" t="str">
        <f>$UZ$1</f>
        <v>Control Cordless Top Down  Bottom Up</v>
      </c>
      <c r="WJ32" t="s">
        <v>1189</v>
      </c>
      <c r="WL32" t="s">
        <v>1189</v>
      </c>
      <c r="XF32" s="436" t="s">
        <v>1324</v>
      </c>
      <c r="XG32" s="437" t="s">
        <v>1335</v>
      </c>
      <c r="XH32" s="436" t="s">
        <v>1960</v>
      </c>
      <c r="AAC32" s="353" t="s">
        <v>1202</v>
      </c>
      <c r="AAD32" s="353">
        <v>6.3</v>
      </c>
      <c r="AAE32" s="199">
        <v>300</v>
      </c>
      <c r="AAF32" s="199">
        <v>3000</v>
      </c>
      <c r="AAG32" s="199">
        <v>300</v>
      </c>
      <c r="AAH32" s="199">
        <v>2700</v>
      </c>
    </row>
    <row r="33" spans="12:710" ht="15">
      <c r="L33" t="s">
        <v>90</v>
      </c>
      <c r="M33">
        <v>660</v>
      </c>
      <c r="S33" t="s">
        <v>80</v>
      </c>
      <c r="T33">
        <v>2173</v>
      </c>
      <c r="V33" s="1"/>
      <c r="AA33" s="178" t="s">
        <v>250</v>
      </c>
      <c r="AW33" s="36"/>
      <c r="BD33" t="s">
        <v>560</v>
      </c>
      <c r="DJ33" t="s">
        <v>248</v>
      </c>
      <c r="DK33" t="s">
        <v>248</v>
      </c>
      <c r="DN33" s="106"/>
      <c r="DO33" s="199" t="s">
        <v>508</v>
      </c>
      <c r="DP33" s="199">
        <v>6</v>
      </c>
      <c r="DQ33" s="199">
        <f t="shared" si="5"/>
        <v>0</v>
      </c>
      <c r="FF33" t="s">
        <v>639</v>
      </c>
      <c r="FP33" t="s">
        <v>694</v>
      </c>
      <c r="LJ33" t="s">
        <v>488</v>
      </c>
      <c r="LK33">
        <v>0</v>
      </c>
      <c r="LX33" s="186" t="s">
        <v>420</v>
      </c>
      <c r="SE33" s="436" t="s">
        <v>1997</v>
      </c>
      <c r="SG33" s="348"/>
      <c r="UC33" s="436" t="s">
        <v>2013</v>
      </c>
      <c r="VD33" s="348"/>
      <c r="VL33" t="s">
        <v>1202</v>
      </c>
      <c r="VM33" t="str">
        <f>$VA$1</f>
        <v>Control Clutch Standard</v>
      </c>
      <c r="VN33" t="str">
        <f>$VA$1</f>
        <v>Control Clutch Standard</v>
      </c>
      <c r="VO33" t="str">
        <f>$VA$1</f>
        <v>Control Clutch Standard</v>
      </c>
      <c r="VP33" t="str">
        <f>$VA$1</f>
        <v>Control Clutch Standard</v>
      </c>
      <c r="VQ33" t="str">
        <f>$VA$1</f>
        <v>Control Clutch Standard</v>
      </c>
      <c r="WJ33" t="s">
        <v>1187</v>
      </c>
      <c r="WL33" t="s">
        <v>1187</v>
      </c>
      <c r="XF33" s="436" t="s">
        <v>1325</v>
      </c>
      <c r="XG33" s="436" t="s">
        <v>2013</v>
      </c>
      <c r="XH33" s="436" t="s">
        <v>1961</v>
      </c>
      <c r="AAC33" s="353" t="s">
        <v>1214</v>
      </c>
      <c r="AAD33" s="353">
        <v>5.2</v>
      </c>
      <c r="AAE33" s="199">
        <v>570</v>
      </c>
      <c r="AAF33" s="199">
        <v>3000</v>
      </c>
      <c r="AAG33" s="199">
        <v>300</v>
      </c>
      <c r="AAH33" s="199">
        <v>2700</v>
      </c>
    </row>
    <row r="34" spans="12:710" ht="15">
      <c r="L34" t="s">
        <v>92</v>
      </c>
      <c r="M34">
        <v>663</v>
      </c>
      <c r="S34" t="s">
        <v>83</v>
      </c>
      <c r="T34">
        <v>2174</v>
      </c>
      <c r="V34" s="1"/>
      <c r="AA34" s="178" t="s">
        <v>251</v>
      </c>
      <c r="AW34" s="36"/>
      <c r="BA34" s="327" t="s">
        <v>1777</v>
      </c>
      <c r="BB34" s="327" t="s">
        <v>1779</v>
      </c>
      <c r="BD34" t="s">
        <v>556</v>
      </c>
      <c r="DJ34" t="s">
        <v>249</v>
      </c>
      <c r="DK34" t="s">
        <v>249</v>
      </c>
      <c r="DN34" s="106"/>
      <c r="DO34" s="199" t="s">
        <v>487</v>
      </c>
      <c r="DP34" s="199">
        <v>8</v>
      </c>
      <c r="DQ34" s="199">
        <f t="shared" si="5"/>
        <v>0</v>
      </c>
      <c r="FF34" t="s">
        <v>640</v>
      </c>
      <c r="FP34" t="s">
        <v>695</v>
      </c>
      <c r="LJ34" t="s">
        <v>489</v>
      </c>
      <c r="LK34">
        <v>0</v>
      </c>
      <c r="LX34" s="186" t="s">
        <v>530</v>
      </c>
      <c r="SE34" s="437" t="s">
        <v>1242</v>
      </c>
      <c r="SG34" s="348"/>
      <c r="UC34" s="437" t="s">
        <v>1287</v>
      </c>
      <c r="VL34" t="s">
        <v>1214</v>
      </c>
      <c r="VM34" t="str">
        <f>$VB$1</f>
        <v>Control Clutch Day Night</v>
      </c>
      <c r="VN34" t="str">
        <f>$VB$1</f>
        <v>Control Clutch Day Night</v>
      </c>
      <c r="VO34" t="str">
        <f>$VB$1</f>
        <v>Control Clutch Day Night</v>
      </c>
      <c r="VP34" t="str">
        <f>$VB$1</f>
        <v>Control Clutch Day Night</v>
      </c>
      <c r="VQ34" t="str">
        <f>$VB$1</f>
        <v>Control Clutch Day Night</v>
      </c>
      <c r="WJ34" t="s">
        <v>1188</v>
      </c>
      <c r="WL34" t="s">
        <v>1188</v>
      </c>
      <c r="XF34" s="436" t="s">
        <v>1326</v>
      </c>
      <c r="XG34" s="437" t="s">
        <v>1287</v>
      </c>
      <c r="XH34" s="436" t="s">
        <v>1962</v>
      </c>
      <c r="AAC34" s="199" t="s">
        <v>1182</v>
      </c>
      <c r="AAD34" s="199">
        <v>6.3</v>
      </c>
      <c r="AAE34" s="199">
        <v>570</v>
      </c>
      <c r="AAF34" s="199">
        <v>3000</v>
      </c>
      <c r="AAG34" s="199">
        <v>300</v>
      </c>
      <c r="AAH34" s="199">
        <v>2700</v>
      </c>
    </row>
    <row r="35" spans="12:710" ht="15">
      <c r="L35" t="s">
        <v>94</v>
      </c>
      <c r="M35">
        <v>664</v>
      </c>
      <c r="S35" t="s">
        <v>86</v>
      </c>
      <c r="T35">
        <v>2175</v>
      </c>
      <c r="V35" s="1"/>
      <c r="AW35" s="36"/>
      <c r="BA35" s="341" t="s">
        <v>1792</v>
      </c>
      <c r="BB35" s="327" t="s">
        <v>1791</v>
      </c>
      <c r="BD35" t="s">
        <v>875</v>
      </c>
      <c r="DJ35" t="s">
        <v>250</v>
      </c>
      <c r="DK35" t="s">
        <v>250</v>
      </c>
      <c r="DN35" s="106"/>
      <c r="DO35" s="199" t="s">
        <v>488</v>
      </c>
      <c r="DP35" s="199">
        <v>6</v>
      </c>
      <c r="DQ35" s="199">
        <f t="shared" si="5"/>
        <v>0</v>
      </c>
      <c r="FF35" t="s">
        <v>393</v>
      </c>
      <c r="LJ35" t="s">
        <v>490</v>
      </c>
      <c r="LK35">
        <v>0</v>
      </c>
      <c r="LX35" s="186" t="s">
        <v>897</v>
      </c>
      <c r="SE35" s="437" t="s">
        <v>1248</v>
      </c>
      <c r="SG35" s="348"/>
      <c r="UC35" s="437" t="s">
        <v>1336</v>
      </c>
      <c r="VD35" s="348" t="s">
        <v>2325</v>
      </c>
      <c r="VL35" t="s">
        <v>1182</v>
      </c>
      <c r="VM35" t="str">
        <f>$VC$1</f>
        <v>Control Clutch Top Down  Bottom Up</v>
      </c>
      <c r="VN35" t="str">
        <f>$VC$1</f>
        <v>Control Clutch Top Down  Bottom Up</v>
      </c>
      <c r="VO35" t="str">
        <f>$VC$1</f>
        <v>Control Clutch Top Down  Bottom Up</v>
      </c>
      <c r="VP35" t="str">
        <f>$VC$1</f>
        <v>Control Clutch Top Down  Bottom Up</v>
      </c>
      <c r="VQ35" t="str">
        <f>$VC$1</f>
        <v>Control Clutch Top Down  Bottom Up</v>
      </c>
      <c r="WJ35" t="s">
        <v>1856</v>
      </c>
      <c r="WL35" t="s">
        <v>1856</v>
      </c>
      <c r="XF35" s="436" t="s">
        <v>1255</v>
      </c>
      <c r="XG35" s="437" t="s">
        <v>1336</v>
      </c>
      <c r="XH35" s="436" t="s">
        <v>1963</v>
      </c>
      <c r="AAC35" s="199" t="s">
        <v>2035</v>
      </c>
      <c r="AAD35" s="199">
        <v>4.5999999999999996</v>
      </c>
      <c r="AAE35" s="199">
        <v>620</v>
      </c>
      <c r="AAF35" s="199">
        <v>3000</v>
      </c>
      <c r="AAG35" s="199">
        <v>300</v>
      </c>
      <c r="AAH35" s="199">
        <v>2700</v>
      </c>
    </row>
    <row r="36" spans="12:710" ht="15">
      <c r="L36" t="s">
        <v>97</v>
      </c>
      <c r="M36">
        <v>665</v>
      </c>
      <c r="S36" t="s">
        <v>89</v>
      </c>
      <c r="T36">
        <v>2176</v>
      </c>
      <c r="V36" s="1"/>
      <c r="AW36" s="36"/>
      <c r="BA36" s="341" t="s">
        <v>997</v>
      </c>
      <c r="BB36" s="327" t="s">
        <v>1788</v>
      </c>
      <c r="BD36" t="s">
        <v>559</v>
      </c>
      <c r="DJ36" t="s">
        <v>251</v>
      </c>
      <c r="DK36" t="s">
        <v>251</v>
      </c>
      <c r="DN36" s="106"/>
      <c r="DO36" s="199" t="s">
        <v>490</v>
      </c>
      <c r="DP36" s="199">
        <v>8</v>
      </c>
      <c r="DQ36" s="199">
        <f t="shared" si="5"/>
        <v>0</v>
      </c>
      <c r="FF36" t="s">
        <v>1526</v>
      </c>
      <c r="LJ36" t="s">
        <v>516</v>
      </c>
      <c r="LK36">
        <v>0</v>
      </c>
      <c r="LX36" s="186" t="s">
        <v>534</v>
      </c>
      <c r="SE36" s="436" t="s">
        <v>1230</v>
      </c>
      <c r="SG36" s="348"/>
      <c r="UC36" s="436" t="s">
        <v>1337</v>
      </c>
      <c r="VD36" t="s">
        <v>1451</v>
      </c>
      <c r="VL36" t="s">
        <v>2035</v>
      </c>
      <c r="VM36" t="str">
        <f>$VD$1</f>
        <v>Control Motorised</v>
      </c>
      <c r="VN36" s="35" t="str">
        <f>$VD$35</f>
        <v>Control Motorised With USB</v>
      </c>
      <c r="VO36" s="35" t="str">
        <f>$VD$35</f>
        <v>Control Motorised With USB</v>
      </c>
      <c r="VP36" t="str">
        <f>$VD$1</f>
        <v>Control Motorised</v>
      </c>
      <c r="VQ36" s="35" t="str">
        <f>$VD$35</f>
        <v>Control Motorised With USB</v>
      </c>
      <c r="WJ36" t="s">
        <v>1857</v>
      </c>
      <c r="WL36" t="s">
        <v>1857</v>
      </c>
      <c r="XF36" s="436" t="s">
        <v>2017</v>
      </c>
      <c r="XG36" s="436" t="s">
        <v>1337</v>
      </c>
      <c r="XH36" s="436" t="s">
        <v>1964</v>
      </c>
      <c r="AAC36" s="199" t="s">
        <v>2036</v>
      </c>
      <c r="AAD36" s="199">
        <v>3.8</v>
      </c>
      <c r="AAE36" s="199">
        <v>850</v>
      </c>
      <c r="AAF36" s="199">
        <v>3000</v>
      </c>
      <c r="AAG36" s="199">
        <v>300</v>
      </c>
      <c r="AAH36" s="199">
        <v>2700</v>
      </c>
    </row>
    <row r="37" spans="12:710" ht="15">
      <c r="L37" t="s">
        <v>99</v>
      </c>
      <c r="M37">
        <v>26</v>
      </c>
      <c r="S37" t="s">
        <v>26</v>
      </c>
      <c r="T37">
        <v>2224</v>
      </c>
      <c r="V37" s="1"/>
      <c r="AW37" s="36"/>
      <c r="BA37" s="341" t="s">
        <v>1780</v>
      </c>
      <c r="BB37" s="327" t="s">
        <v>1781</v>
      </c>
      <c r="BD37" t="s">
        <v>552</v>
      </c>
      <c r="DN37" s="106"/>
      <c r="DO37" s="199" t="s">
        <v>516</v>
      </c>
      <c r="DP37" s="199">
        <v>8</v>
      </c>
      <c r="DQ37" s="199">
        <f t="shared" si="5"/>
        <v>0</v>
      </c>
      <c r="FF37" s="327" t="s">
        <v>1789</v>
      </c>
      <c r="LJ37" t="s">
        <v>493</v>
      </c>
      <c r="LK37">
        <v>0</v>
      </c>
      <c r="LX37" s="186" t="s">
        <v>898</v>
      </c>
      <c r="SE37" s="436" t="s">
        <v>1998</v>
      </c>
      <c r="SG37" s="348"/>
      <c r="UC37" s="436" t="s">
        <v>2014</v>
      </c>
      <c r="VD37" t="s">
        <v>1452</v>
      </c>
      <c r="VL37" t="s">
        <v>2036</v>
      </c>
      <c r="VM37" t="str">
        <f t="shared" ref="VM37:VQ38" si="15">$VD$22</f>
        <v>Control Motorised DNTDBU</v>
      </c>
      <c r="VN37" t="str">
        <f t="shared" si="15"/>
        <v>Control Motorised DNTDBU</v>
      </c>
      <c r="VO37" t="str">
        <f t="shared" si="15"/>
        <v>Control Motorised DNTDBU</v>
      </c>
      <c r="VP37" t="str">
        <f t="shared" si="15"/>
        <v>Control Motorised DNTDBU</v>
      </c>
      <c r="VQ37" t="str">
        <f t="shared" si="15"/>
        <v>Control Motorised DNTDBU</v>
      </c>
      <c r="WJ37" t="s">
        <v>1186</v>
      </c>
      <c r="WL37" t="s">
        <v>1186</v>
      </c>
      <c r="XF37" s="436" t="s">
        <v>2028</v>
      </c>
      <c r="XG37" s="436" t="s">
        <v>2014</v>
      </c>
      <c r="XH37" s="436" t="s">
        <v>1965</v>
      </c>
      <c r="AAC37" s="199" t="s">
        <v>2037</v>
      </c>
      <c r="AAD37" s="199">
        <v>4.5999999999999996</v>
      </c>
      <c r="AAE37" s="199">
        <v>850</v>
      </c>
      <c r="AAF37" s="199">
        <v>3000</v>
      </c>
      <c r="AAG37" s="199">
        <v>300</v>
      </c>
      <c r="AAH37" s="199">
        <v>2700</v>
      </c>
    </row>
    <row r="38" spans="12:710" ht="15">
      <c r="L38" t="s">
        <v>101</v>
      </c>
      <c r="M38">
        <v>27</v>
      </c>
      <c r="S38" t="s">
        <v>113</v>
      </c>
      <c r="T38">
        <v>2225</v>
      </c>
      <c r="V38" s="1"/>
      <c r="AW38" s="36"/>
      <c r="BA38" s="341"/>
      <c r="BB38" s="327"/>
      <c r="DN38" s="106"/>
      <c r="DO38" s="199" t="s">
        <v>493</v>
      </c>
      <c r="DP38" s="199">
        <v>6</v>
      </c>
      <c r="DQ38" s="199">
        <f t="shared" si="5"/>
        <v>0</v>
      </c>
      <c r="FF38" s="327" t="s">
        <v>1790</v>
      </c>
      <c r="LJ38" t="s">
        <v>517</v>
      </c>
      <c r="LK38">
        <v>0</v>
      </c>
      <c r="LX38" s="186" t="s">
        <v>899</v>
      </c>
      <c r="SE38" s="436" t="s">
        <v>1245</v>
      </c>
      <c r="SG38" s="348"/>
      <c r="UC38" s="436" t="s">
        <v>1289</v>
      </c>
      <c r="VD38" t="s">
        <v>1812</v>
      </c>
      <c r="VL38" t="s">
        <v>2037</v>
      </c>
      <c r="VM38" t="str">
        <f t="shared" si="15"/>
        <v>Control Motorised DNTDBU</v>
      </c>
      <c r="VN38" t="str">
        <f t="shared" si="15"/>
        <v>Control Motorised DNTDBU</v>
      </c>
      <c r="VO38" t="str">
        <f t="shared" si="15"/>
        <v>Control Motorised DNTDBU</v>
      </c>
      <c r="VP38" t="str">
        <f t="shared" si="15"/>
        <v>Control Motorised DNTDBU</v>
      </c>
      <c r="VQ38" t="str">
        <f t="shared" si="15"/>
        <v>Control Motorised DNTDBU</v>
      </c>
      <c r="WJ38" t="s">
        <v>1190</v>
      </c>
      <c r="WL38" t="s">
        <v>1190</v>
      </c>
      <c r="XF38" s="436" t="s">
        <v>2029</v>
      </c>
      <c r="XG38" s="436" t="s">
        <v>1289</v>
      </c>
      <c r="XH38" s="436" t="s">
        <v>1950</v>
      </c>
    </row>
    <row r="39" spans="12:710" ht="15">
      <c r="L39" t="s">
        <v>103</v>
      </c>
      <c r="M39">
        <v>28</v>
      </c>
      <c r="S39" t="s">
        <v>25</v>
      </c>
      <c r="T39">
        <v>2230</v>
      </c>
      <c r="V39" s="1"/>
      <c r="AW39" s="36"/>
      <c r="DN39" s="106"/>
      <c r="DO39" s="199" t="s">
        <v>517</v>
      </c>
      <c r="DP39" s="199">
        <v>8</v>
      </c>
      <c r="DQ39" s="199">
        <f t="shared" si="5"/>
        <v>0</v>
      </c>
      <c r="LJ39" t="s">
        <v>471</v>
      </c>
      <c r="LK39">
        <v>0</v>
      </c>
      <c r="LX39" s="186" t="s">
        <v>531</v>
      </c>
      <c r="RB39" t="s">
        <v>2305</v>
      </c>
      <c r="RD39" t="s">
        <v>2306</v>
      </c>
      <c r="RE39" t="s">
        <v>2307</v>
      </c>
      <c r="SE39" s="436" t="s">
        <v>1226</v>
      </c>
      <c r="UC39" s="436" t="s">
        <v>2015</v>
      </c>
      <c r="VD39" t="s">
        <v>1813</v>
      </c>
      <c r="VL39" t="s">
        <v>2177</v>
      </c>
      <c r="VM39" t="str">
        <f>$UU$13</f>
        <v>Control Skylight Cordless</v>
      </c>
      <c r="VN39" t="str">
        <f>$UU$13</f>
        <v>Control Skylight Cordless</v>
      </c>
      <c r="VO39" t="str">
        <f>$UU$13</f>
        <v>Control Skylight Cordless</v>
      </c>
      <c r="VP39" t="str">
        <f>$UU$13</f>
        <v>Control Skylight Cordless</v>
      </c>
      <c r="VQ39" t="str">
        <f>$UU$13</f>
        <v>Control Skylight Cordless</v>
      </c>
      <c r="XF39" s="436" t="s">
        <v>1256</v>
      </c>
      <c r="XG39" s="436" t="s">
        <v>2015</v>
      </c>
      <c r="XH39" s="437" t="s">
        <v>1954</v>
      </c>
    </row>
    <row r="40" spans="12:710" ht="15">
      <c r="S40" t="s">
        <v>28</v>
      </c>
      <c r="T40">
        <v>2231</v>
      </c>
      <c r="V40" s="1"/>
      <c r="AW40" s="36"/>
      <c r="DN40" s="106"/>
      <c r="DO40" s="199" t="s">
        <v>471</v>
      </c>
      <c r="DP40" s="199">
        <v>1</v>
      </c>
      <c r="DQ40" s="199">
        <f t="shared" si="5"/>
        <v>0</v>
      </c>
      <c r="LJ40" t="s">
        <v>472</v>
      </c>
      <c r="LK40">
        <v>0</v>
      </c>
      <c r="LX40" s="186" t="s">
        <v>900</v>
      </c>
      <c r="RB40" t="s">
        <v>1174</v>
      </c>
      <c r="SE40" s="436" t="s">
        <v>1246</v>
      </c>
      <c r="UC40" s="436" t="s">
        <v>1290</v>
      </c>
      <c r="VD40" t="s">
        <v>2129</v>
      </c>
      <c r="VL40" t="s">
        <v>2178</v>
      </c>
      <c r="VM40" t="str">
        <f>$UV$13</f>
        <v>Control Skylight Motorised Remote</v>
      </c>
      <c r="VN40" t="str">
        <f>$UV$13</f>
        <v>Control Skylight Motorised Remote</v>
      </c>
      <c r="VO40" t="str">
        <f>$UV$13</f>
        <v>Control Skylight Motorised Remote</v>
      </c>
      <c r="VP40" t="str">
        <f>$UV$13</f>
        <v>Control Skylight Motorised Remote</v>
      </c>
      <c r="VQ40" t="str">
        <f>$UV$13</f>
        <v>Control Skylight Motorised Remote</v>
      </c>
      <c r="XF40" s="436" t="s">
        <v>1257</v>
      </c>
      <c r="XG40" s="436" t="s">
        <v>1290</v>
      </c>
      <c r="XH40" s="437" t="s">
        <v>1951</v>
      </c>
    </row>
    <row r="41" spans="12:710" ht="15">
      <c r="S41" t="s">
        <v>96</v>
      </c>
      <c r="T41">
        <v>2232</v>
      </c>
      <c r="V41" s="1"/>
      <c r="AW41" s="36"/>
      <c r="DN41" s="106"/>
      <c r="DO41" s="199" t="s">
        <v>472</v>
      </c>
      <c r="DP41" s="199">
        <v>2</v>
      </c>
      <c r="DQ41" s="199">
        <f t="shared" si="5"/>
        <v>0</v>
      </c>
      <c r="LJ41" t="s">
        <v>466</v>
      </c>
      <c r="LK41">
        <v>0</v>
      </c>
      <c r="LX41" s="186" t="s">
        <v>901</v>
      </c>
      <c r="RB41" t="s">
        <v>1175</v>
      </c>
      <c r="UC41" s="35"/>
      <c r="VD41" t="s">
        <v>2132</v>
      </c>
      <c r="XF41" s="436" t="s">
        <v>1258</v>
      </c>
      <c r="XG41" s="436" t="s">
        <v>1873</v>
      </c>
      <c r="XH41" s="437" t="s">
        <v>1952</v>
      </c>
    </row>
    <row r="42" spans="12:710" ht="15">
      <c r="S42" t="s">
        <v>21</v>
      </c>
      <c r="T42">
        <v>2233</v>
      </c>
      <c r="V42" s="1"/>
      <c r="AW42" s="36"/>
      <c r="DN42" s="106"/>
      <c r="DO42" s="199" t="s">
        <v>466</v>
      </c>
      <c r="DP42" s="199">
        <v>2</v>
      </c>
      <c r="DQ42" s="199">
        <f t="shared" si="5"/>
        <v>0</v>
      </c>
      <c r="LJ42" t="s">
        <v>476</v>
      </c>
      <c r="LK42">
        <v>0</v>
      </c>
      <c r="LX42" s="186" t="s">
        <v>537</v>
      </c>
      <c r="RB42" t="s">
        <v>1852</v>
      </c>
      <c r="VD42" t="s">
        <v>2131</v>
      </c>
      <c r="XF42" s="436" t="s">
        <v>2030</v>
      </c>
      <c r="XG42" s="436" t="s">
        <v>1874</v>
      </c>
      <c r="XH42" s="437" t="s">
        <v>1953</v>
      </c>
    </row>
    <row r="43" spans="12:710" ht="15">
      <c r="S43" t="s">
        <v>27</v>
      </c>
      <c r="T43">
        <v>2157</v>
      </c>
      <c r="V43" s="1"/>
      <c r="DN43" s="106"/>
      <c r="DO43" s="199" t="s">
        <v>476</v>
      </c>
      <c r="DP43" s="199">
        <v>2</v>
      </c>
      <c r="DQ43" s="199">
        <f t="shared" si="5"/>
        <v>0</v>
      </c>
      <c r="LJ43" t="s">
        <v>518</v>
      </c>
      <c r="LK43">
        <v>0</v>
      </c>
      <c r="LX43" s="186" t="s">
        <v>902</v>
      </c>
      <c r="RB43" t="s">
        <v>1176</v>
      </c>
      <c r="VD43" t="s">
        <v>2130</v>
      </c>
      <c r="XF43" s="436" t="s">
        <v>2032</v>
      </c>
      <c r="XG43" s="436" t="s">
        <v>1875</v>
      </c>
      <c r="XH43" s="436" t="s">
        <v>1945</v>
      </c>
    </row>
    <row r="44" spans="12:710" ht="15">
      <c r="S44" t="s">
        <v>20</v>
      </c>
      <c r="T44">
        <v>2158</v>
      </c>
      <c r="V44" s="1"/>
      <c r="DN44" s="106"/>
      <c r="DO44" s="199" t="s">
        <v>518</v>
      </c>
      <c r="DP44" s="199">
        <v>2</v>
      </c>
      <c r="DQ44" s="199">
        <f t="shared" si="5"/>
        <v>0</v>
      </c>
      <c r="LJ44" t="s">
        <v>477</v>
      </c>
      <c r="LK44">
        <v>0</v>
      </c>
      <c r="LX44" s="186" t="s">
        <v>903</v>
      </c>
      <c r="RB44" t="s">
        <v>2137</v>
      </c>
      <c r="VD44" t="s">
        <v>2133</v>
      </c>
      <c r="XF44" s="436" t="s">
        <v>1259</v>
      </c>
      <c r="XG44" s="436" t="s">
        <v>1876</v>
      </c>
      <c r="XH44" s="436" t="s">
        <v>1946</v>
      </c>
    </row>
    <row r="45" spans="12:710" ht="25.5" customHeight="1">
      <c r="S45" t="s">
        <v>28</v>
      </c>
      <c r="T45">
        <v>2159</v>
      </c>
      <c r="V45" s="1"/>
      <c r="DN45" s="106"/>
      <c r="DO45" s="199" t="s">
        <v>477</v>
      </c>
      <c r="DP45" s="199">
        <v>3</v>
      </c>
      <c r="DQ45" s="199">
        <f t="shared" si="5"/>
        <v>0</v>
      </c>
      <c r="LJ45" t="s">
        <v>474</v>
      </c>
      <c r="LK45">
        <v>0</v>
      </c>
      <c r="LX45" s="186" t="s">
        <v>904</v>
      </c>
      <c r="VD45" t="s">
        <v>2136</v>
      </c>
      <c r="XF45" s="436" t="s">
        <v>1317</v>
      </c>
      <c r="XG45" s="436" t="s">
        <v>1877</v>
      </c>
      <c r="XH45" s="436" t="s">
        <v>1947</v>
      </c>
    </row>
    <row r="46" spans="12:710" ht="15">
      <c r="S46" t="s">
        <v>21</v>
      </c>
      <c r="T46">
        <v>2160</v>
      </c>
      <c r="V46" s="1"/>
      <c r="DN46" s="106"/>
      <c r="DO46" s="199" t="s">
        <v>474</v>
      </c>
      <c r="DP46" s="199">
        <v>3</v>
      </c>
      <c r="DQ46" s="199">
        <f t="shared" si="5"/>
        <v>0</v>
      </c>
      <c r="LJ46" t="s">
        <v>467</v>
      </c>
      <c r="LK46">
        <v>0</v>
      </c>
      <c r="LX46" s="186" t="s">
        <v>510</v>
      </c>
      <c r="UU46" t="s">
        <v>1174</v>
      </c>
      <c r="UV46" t="s">
        <v>1175</v>
      </c>
      <c r="UW46" t="s">
        <v>1852</v>
      </c>
      <c r="UX46" t="s">
        <v>1176</v>
      </c>
      <c r="UY46" t="s">
        <v>2137</v>
      </c>
      <c r="VD46" t="s">
        <v>2135</v>
      </c>
      <c r="XF46" s="436" t="s">
        <v>1318</v>
      </c>
      <c r="XG46" s="436" t="s">
        <v>1878</v>
      </c>
      <c r="XH46" s="436" t="s">
        <v>1948</v>
      </c>
    </row>
    <row r="47" spans="12:710" ht="15">
      <c r="S47" t="s">
        <v>22</v>
      </c>
      <c r="T47">
        <v>2161</v>
      </c>
      <c r="V47" s="2"/>
      <c r="DN47" s="106"/>
      <c r="DO47" s="199" t="s">
        <v>467</v>
      </c>
      <c r="DP47" s="199">
        <v>3</v>
      </c>
      <c r="DQ47" s="199">
        <f t="shared" si="5"/>
        <v>0</v>
      </c>
      <c r="LJ47" t="s">
        <v>469</v>
      </c>
      <c r="LK47">
        <v>0</v>
      </c>
      <c r="LX47" s="186" t="s">
        <v>496</v>
      </c>
      <c r="UT47" t="s">
        <v>1206</v>
      </c>
      <c r="VD47" t="s">
        <v>2134</v>
      </c>
      <c r="WD47" s="178" t="s">
        <v>1858</v>
      </c>
      <c r="WE47" s="178" t="s">
        <v>1859</v>
      </c>
      <c r="WF47" s="178" t="s">
        <v>1860</v>
      </c>
      <c r="WG47" s="178" t="s">
        <v>1861</v>
      </c>
      <c r="WH47" s="178" t="s">
        <v>1862</v>
      </c>
      <c r="WI47" s="178" t="s">
        <v>1863</v>
      </c>
      <c r="WJ47" s="178" t="s">
        <v>1864</v>
      </c>
      <c r="WK47" s="178" t="s">
        <v>1865</v>
      </c>
      <c r="WL47" s="178" t="s">
        <v>1866</v>
      </c>
      <c r="WM47" s="178" t="s">
        <v>1867</v>
      </c>
      <c r="WN47" s="178" t="s">
        <v>1868</v>
      </c>
      <c r="XF47" s="436" t="s">
        <v>1319</v>
      </c>
      <c r="XG47" s="436" t="s">
        <v>1879</v>
      </c>
      <c r="XH47" s="436" t="s">
        <v>1949</v>
      </c>
    </row>
    <row r="48" spans="12:710" ht="15">
      <c r="S48" t="s">
        <v>69</v>
      </c>
      <c r="T48">
        <v>2162</v>
      </c>
      <c r="V48" s="2"/>
      <c r="DN48" s="106"/>
      <c r="DO48" s="199" t="s">
        <v>469</v>
      </c>
      <c r="DP48" s="199">
        <v>3</v>
      </c>
      <c r="DQ48" s="199">
        <f t="shared" si="5"/>
        <v>0</v>
      </c>
      <c r="LJ48" t="s">
        <v>478</v>
      </c>
      <c r="LK48">
        <v>0</v>
      </c>
      <c r="LX48" s="186" t="s">
        <v>497</v>
      </c>
      <c r="UT48" t="s">
        <v>1213</v>
      </c>
      <c r="VD48" t="s">
        <v>2329</v>
      </c>
      <c r="WD48" s="204" t="s">
        <v>1177</v>
      </c>
      <c r="WE48" t="s">
        <v>1215</v>
      </c>
      <c r="WF48" s="204" t="s">
        <v>1177</v>
      </c>
      <c r="WG48" s="204" t="s">
        <v>1177</v>
      </c>
      <c r="WH48" t="s">
        <v>1215</v>
      </c>
      <c r="WI48" s="204" t="s">
        <v>1177</v>
      </c>
      <c r="WJ48" s="204" t="s">
        <v>1177</v>
      </c>
      <c r="WK48" t="s">
        <v>1215</v>
      </c>
      <c r="WL48" s="204" t="s">
        <v>1177</v>
      </c>
      <c r="WM48" s="204" t="s">
        <v>1177</v>
      </c>
      <c r="WN48" s="204" t="s">
        <v>1177</v>
      </c>
      <c r="XF48" s="436" t="s">
        <v>1320</v>
      </c>
      <c r="XG48" s="436" t="s">
        <v>1880</v>
      </c>
      <c r="XH48" s="436" t="s">
        <v>1255</v>
      </c>
    </row>
    <row r="49" spans="19:632" ht="15">
      <c r="S49" t="s">
        <v>28</v>
      </c>
      <c r="T49">
        <v>2163</v>
      </c>
      <c r="V49" s="1"/>
      <c r="DN49" s="106"/>
      <c r="DO49" s="199" t="s">
        <v>478</v>
      </c>
      <c r="DP49" s="199">
        <v>3</v>
      </c>
      <c r="DQ49" s="199">
        <f t="shared" si="5"/>
        <v>0</v>
      </c>
      <c r="LJ49" t="s">
        <v>463</v>
      </c>
      <c r="LK49">
        <v>0</v>
      </c>
      <c r="LX49" s="186" t="s">
        <v>498</v>
      </c>
      <c r="UT49" t="s">
        <v>1207</v>
      </c>
      <c r="VD49" t="s">
        <v>2330</v>
      </c>
      <c r="WD49" s="204" t="s">
        <v>2155</v>
      </c>
      <c r="WE49" t="s">
        <v>1440</v>
      </c>
      <c r="WF49" s="204" t="s">
        <v>2155</v>
      </c>
      <c r="WG49" s="204" t="s">
        <v>2155</v>
      </c>
      <c r="WH49" t="s">
        <v>1440</v>
      </c>
      <c r="WI49" s="204" t="s">
        <v>2155</v>
      </c>
      <c r="WJ49" s="204" t="s">
        <v>2155</v>
      </c>
      <c r="WK49" t="s">
        <v>1440</v>
      </c>
      <c r="WL49" s="204" t="s">
        <v>2155</v>
      </c>
      <c r="WM49" s="204" t="s">
        <v>2155</v>
      </c>
      <c r="WN49" s="204" t="s">
        <v>2155</v>
      </c>
      <c r="XF49" s="436" t="s">
        <v>1321</v>
      </c>
      <c r="XG49" s="436" t="s">
        <v>1881</v>
      </c>
      <c r="XH49" s="436" t="s">
        <v>1256</v>
      </c>
    </row>
    <row r="50" spans="19:632" ht="15">
      <c r="S50" t="s">
        <v>21</v>
      </c>
      <c r="T50">
        <v>2164</v>
      </c>
      <c r="V50" s="1"/>
      <c r="DN50" s="106"/>
      <c r="DO50" s="199" t="s">
        <v>463</v>
      </c>
      <c r="DP50" s="199">
        <v>4</v>
      </c>
      <c r="DQ50" s="199">
        <f t="shared" si="5"/>
        <v>0</v>
      </c>
      <c r="LJ50" t="s">
        <v>468</v>
      </c>
      <c r="LK50">
        <v>0</v>
      </c>
      <c r="LX50" s="186" t="s">
        <v>905</v>
      </c>
      <c r="UT50" t="s">
        <v>1201</v>
      </c>
      <c r="WD50" s="204" t="s">
        <v>2153</v>
      </c>
      <c r="WF50" s="204" t="s">
        <v>2153</v>
      </c>
      <c r="WG50" s="204" t="s">
        <v>2153</v>
      </c>
      <c r="WI50" s="204" t="s">
        <v>2153</v>
      </c>
      <c r="WJ50" s="204" t="s">
        <v>2153</v>
      </c>
      <c r="WL50" s="204" t="s">
        <v>2153</v>
      </c>
      <c r="WM50" s="204" t="s">
        <v>2153</v>
      </c>
      <c r="WN50" s="204" t="s">
        <v>2153</v>
      </c>
      <c r="XF50" s="436" t="s">
        <v>1307</v>
      </c>
      <c r="XG50" s="436" t="s">
        <v>1976</v>
      </c>
      <c r="XH50" s="436" t="s">
        <v>1257</v>
      </c>
    </row>
    <row r="51" spans="19:632" ht="15">
      <c r="S51" t="s">
        <v>29</v>
      </c>
      <c r="T51">
        <v>2167</v>
      </c>
      <c r="V51" s="1"/>
      <c r="DN51" s="106"/>
      <c r="DO51" s="199" t="s">
        <v>468</v>
      </c>
      <c r="DP51" s="199">
        <v>4</v>
      </c>
      <c r="DQ51" s="199">
        <f t="shared" si="5"/>
        <v>0</v>
      </c>
      <c r="LJ51" t="s">
        <v>473</v>
      </c>
      <c r="LK51">
        <v>0</v>
      </c>
      <c r="LX51" s="186" t="s">
        <v>1009</v>
      </c>
      <c r="UT51" t="s">
        <v>1212</v>
      </c>
      <c r="WD51" s="204" t="s">
        <v>2152</v>
      </c>
      <c r="WF51" s="204" t="s">
        <v>2152</v>
      </c>
      <c r="WG51" s="204" t="s">
        <v>2152</v>
      </c>
      <c r="WI51" s="204" t="s">
        <v>2152</v>
      </c>
      <c r="WJ51" s="204" t="s">
        <v>2152</v>
      </c>
      <c r="WL51" s="204" t="s">
        <v>2152</v>
      </c>
      <c r="WM51" s="204" t="s">
        <v>2152</v>
      </c>
      <c r="WN51" s="204" t="s">
        <v>2152</v>
      </c>
      <c r="XF51" s="436" t="s">
        <v>1308</v>
      </c>
      <c r="XG51" s="436" t="s">
        <v>1977</v>
      </c>
      <c r="XH51" s="436" t="s">
        <v>1966</v>
      </c>
    </row>
    <row r="52" spans="19:632" ht="15">
      <c r="S52" t="s">
        <v>23</v>
      </c>
      <c r="T52">
        <v>2168</v>
      </c>
      <c r="V52" s="1"/>
      <c r="DN52" s="106"/>
      <c r="DO52" s="199" t="s">
        <v>473</v>
      </c>
      <c r="DP52" s="199">
        <v>4</v>
      </c>
      <c r="DQ52" s="199">
        <f t="shared" si="5"/>
        <v>0</v>
      </c>
      <c r="LJ52" t="s">
        <v>475</v>
      </c>
      <c r="LK52">
        <v>0</v>
      </c>
      <c r="LX52" s="186" t="s">
        <v>1010</v>
      </c>
      <c r="UT52" t="s">
        <v>1184</v>
      </c>
      <c r="WD52" s="204" t="s">
        <v>2154</v>
      </c>
      <c r="WF52" s="204" t="s">
        <v>2154</v>
      </c>
      <c r="WG52" s="204" t="s">
        <v>2154</v>
      </c>
      <c r="WI52" s="204" t="s">
        <v>2154</v>
      </c>
      <c r="WJ52" s="204" t="s">
        <v>2154</v>
      </c>
      <c r="WL52" s="204" t="s">
        <v>2154</v>
      </c>
      <c r="WM52" s="204" t="s">
        <v>2154</v>
      </c>
      <c r="WN52" s="204" t="s">
        <v>2154</v>
      </c>
      <c r="XF52" s="436" t="s">
        <v>1309</v>
      </c>
      <c r="XG52" s="436" t="s">
        <v>1978</v>
      </c>
      <c r="XH52" s="437" t="s">
        <v>1955</v>
      </c>
    </row>
    <row r="53" spans="19:632" ht="15">
      <c r="S53" t="s">
        <v>24</v>
      </c>
      <c r="T53">
        <v>2183</v>
      </c>
      <c r="V53" s="1"/>
      <c r="DN53" s="106"/>
      <c r="DO53" s="199" t="s">
        <v>475</v>
      </c>
      <c r="DP53" s="199">
        <v>4</v>
      </c>
      <c r="DQ53" s="199">
        <f t="shared" si="5"/>
        <v>0</v>
      </c>
      <c r="HX53" t="s">
        <v>727</v>
      </c>
      <c r="LJ53" t="s">
        <v>519</v>
      </c>
      <c r="LK53">
        <v>0</v>
      </c>
      <c r="LX53" s="186" t="s">
        <v>1022</v>
      </c>
      <c r="UT53" t="s">
        <v>1202</v>
      </c>
      <c r="WD53" s="204" t="s">
        <v>2156</v>
      </c>
      <c r="WF53" s="204" t="s">
        <v>2156</v>
      </c>
      <c r="WG53" s="204" t="s">
        <v>2156</v>
      </c>
      <c r="WI53" s="204" t="s">
        <v>2156</v>
      </c>
      <c r="WJ53" s="204" t="s">
        <v>2156</v>
      </c>
      <c r="WL53" s="204" t="s">
        <v>2156</v>
      </c>
      <c r="WM53" s="204" t="s">
        <v>2156</v>
      </c>
      <c r="WN53" s="204" t="s">
        <v>2156</v>
      </c>
      <c r="XF53" s="436" t="s">
        <v>1310</v>
      </c>
      <c r="XG53" s="436" t="s">
        <v>1979</v>
      </c>
      <c r="XH53" s="437" t="s">
        <v>1956</v>
      </c>
    </row>
    <row r="54" spans="19:632" ht="15">
      <c r="S54" t="s">
        <v>78</v>
      </c>
      <c r="T54">
        <v>2184</v>
      </c>
      <c r="V54" s="1"/>
      <c r="DN54" s="106"/>
      <c r="DO54" s="199" t="s">
        <v>519</v>
      </c>
      <c r="DP54" s="199">
        <v>4</v>
      </c>
      <c r="DQ54" s="199">
        <f t="shared" si="5"/>
        <v>0</v>
      </c>
      <c r="HX54" t="s">
        <v>754</v>
      </c>
      <c r="LJ54" t="s">
        <v>520</v>
      </c>
      <c r="LK54">
        <v>0</v>
      </c>
      <c r="LX54" s="186" t="s">
        <v>1023</v>
      </c>
      <c r="UT54" t="s">
        <v>1214</v>
      </c>
      <c r="WD54" s="204" t="s">
        <v>1178</v>
      </c>
      <c r="WF54" s="204" t="s">
        <v>1178</v>
      </c>
      <c r="WG54" s="204" t="s">
        <v>1178</v>
      </c>
      <c r="WI54" s="204" t="s">
        <v>1178</v>
      </c>
      <c r="WJ54" s="204" t="s">
        <v>1178</v>
      </c>
      <c r="WL54" s="204" t="s">
        <v>1178</v>
      </c>
      <c r="WM54" s="204" t="s">
        <v>1178</v>
      </c>
      <c r="WN54" s="204" t="s">
        <v>1178</v>
      </c>
      <c r="XF54" s="436" t="s">
        <v>1311</v>
      </c>
      <c r="XG54" s="436" t="s">
        <v>1980</v>
      </c>
      <c r="XH54" s="437" t="s">
        <v>1957</v>
      </c>
    </row>
    <row r="55" spans="19:632">
      <c r="S55" t="s">
        <v>80</v>
      </c>
      <c r="T55">
        <v>2185</v>
      </c>
      <c r="V55" s="1"/>
      <c r="DO55" s="199" t="s">
        <v>520</v>
      </c>
      <c r="DP55" s="199">
        <v>4</v>
      </c>
      <c r="DQ55" s="199">
        <f t="shared" si="5"/>
        <v>0</v>
      </c>
      <c r="HX55" t="s">
        <v>755</v>
      </c>
      <c r="LJ55" t="s">
        <v>521</v>
      </c>
      <c r="LK55">
        <v>0</v>
      </c>
      <c r="LX55" s="186" t="s">
        <v>1026</v>
      </c>
      <c r="UT55" t="s">
        <v>1182</v>
      </c>
      <c r="WD55" s="204" t="s">
        <v>1854</v>
      </c>
      <c r="WF55" s="204" t="s">
        <v>1854</v>
      </c>
      <c r="WG55" s="204" t="s">
        <v>1854</v>
      </c>
      <c r="WI55" s="204" t="s">
        <v>1854</v>
      </c>
      <c r="WJ55" s="204" t="s">
        <v>1854</v>
      </c>
      <c r="WL55" s="204" t="s">
        <v>1854</v>
      </c>
      <c r="WM55" s="204" t="s">
        <v>1854</v>
      </c>
      <c r="WN55" s="204" t="s">
        <v>1854</v>
      </c>
      <c r="XF55" s="436"/>
      <c r="XG55" s="436" t="s">
        <v>1981</v>
      </c>
      <c r="XH55" s="437" t="s">
        <v>1958</v>
      </c>
    </row>
    <row r="56" spans="19:632">
      <c r="S56" t="s">
        <v>83</v>
      </c>
      <c r="T56">
        <v>2186</v>
      </c>
      <c r="V56" s="1"/>
      <c r="DO56" s="199" t="s">
        <v>521</v>
      </c>
      <c r="DP56" s="199">
        <v>4</v>
      </c>
      <c r="DQ56" s="199">
        <f t="shared" si="5"/>
        <v>0</v>
      </c>
      <c r="FF56" t="s">
        <v>641</v>
      </c>
      <c r="HX56" t="s">
        <v>756</v>
      </c>
      <c r="LJ56" t="s">
        <v>464</v>
      </c>
      <c r="LK56">
        <v>0</v>
      </c>
      <c r="LX56" s="186" t="s">
        <v>1027</v>
      </c>
      <c r="UT56" t="s">
        <v>2035</v>
      </c>
      <c r="WD56" s="204" t="s">
        <v>1869</v>
      </c>
      <c r="WF56" s="204" t="s">
        <v>1869</v>
      </c>
      <c r="WG56" s="204" t="s">
        <v>1869</v>
      </c>
      <c r="WI56" s="204" t="s">
        <v>1869</v>
      </c>
      <c r="WJ56" s="204" t="s">
        <v>1869</v>
      </c>
      <c r="WL56" s="204" t="s">
        <v>1869</v>
      </c>
      <c r="WM56" s="204" t="s">
        <v>1869</v>
      </c>
      <c r="WN56" s="204" t="s">
        <v>1869</v>
      </c>
      <c r="XF56" s="436"/>
      <c r="XG56" s="436" t="s">
        <v>1982</v>
      </c>
      <c r="XH56" s="436" t="s">
        <v>2199</v>
      </c>
    </row>
    <row r="57" spans="19:632">
      <c r="S57" t="s">
        <v>86</v>
      </c>
      <c r="T57">
        <v>2187</v>
      </c>
      <c r="V57" s="1"/>
      <c r="DO57" s="199" t="s">
        <v>464</v>
      </c>
      <c r="DP57" s="199">
        <v>8</v>
      </c>
      <c r="DQ57" s="199">
        <f t="shared" si="5"/>
        <v>0</v>
      </c>
      <c r="FF57" t="s">
        <v>618</v>
      </c>
      <c r="HX57" t="s">
        <v>757</v>
      </c>
      <c r="LJ57" t="s">
        <v>465</v>
      </c>
      <c r="LK57">
        <v>0</v>
      </c>
      <c r="LX57" s="186" t="s">
        <v>1015</v>
      </c>
      <c r="UT57" t="s">
        <v>2036</v>
      </c>
      <c r="WD57" s="204" t="s">
        <v>1870</v>
      </c>
      <c r="WF57" s="204" t="s">
        <v>1870</v>
      </c>
      <c r="WG57" s="204" t="s">
        <v>1870</v>
      </c>
      <c r="WI57" s="204" t="s">
        <v>1870</v>
      </c>
      <c r="WJ57" s="204" t="s">
        <v>1870</v>
      </c>
      <c r="WL57" s="204" t="s">
        <v>1870</v>
      </c>
      <c r="WM57" s="204" t="s">
        <v>1870</v>
      </c>
      <c r="WN57" s="204" t="s">
        <v>1870</v>
      </c>
      <c r="XF57" s="436"/>
      <c r="XG57" s="436" t="s">
        <v>1983</v>
      </c>
      <c r="XH57" s="436" t="s">
        <v>2200</v>
      </c>
    </row>
    <row r="58" spans="19:632">
      <c r="S58" t="s">
        <v>89</v>
      </c>
      <c r="T58">
        <v>2188</v>
      </c>
      <c r="V58" s="1"/>
      <c r="DO58" s="199" t="s">
        <v>465</v>
      </c>
      <c r="DP58" s="199">
        <v>6</v>
      </c>
      <c r="DQ58" s="199">
        <f t="shared" si="5"/>
        <v>0</v>
      </c>
      <c r="FF58" t="s">
        <v>619</v>
      </c>
      <c r="HX58" t="s">
        <v>769</v>
      </c>
      <c r="LJ58" t="s">
        <v>470</v>
      </c>
      <c r="LK58">
        <v>0</v>
      </c>
      <c r="LX58" s="186" t="s">
        <v>1016</v>
      </c>
      <c r="UT58" t="s">
        <v>2037</v>
      </c>
      <c r="WD58" s="204" t="s">
        <v>1871</v>
      </c>
      <c r="WF58" s="204" t="s">
        <v>1871</v>
      </c>
      <c r="WG58" s="204" t="s">
        <v>1871</v>
      </c>
      <c r="WI58" s="204" t="s">
        <v>1871</v>
      </c>
      <c r="WJ58" s="204" t="s">
        <v>1871</v>
      </c>
      <c r="WL58" s="204" t="s">
        <v>1871</v>
      </c>
      <c r="WM58" s="204" t="s">
        <v>1871</v>
      </c>
      <c r="WN58" s="204" t="s">
        <v>1871</v>
      </c>
      <c r="XF58" s="436"/>
      <c r="XG58" s="436" t="s">
        <v>1984</v>
      </c>
      <c r="XH58" s="436" t="s">
        <v>2201</v>
      </c>
    </row>
    <row r="59" spans="19:632">
      <c r="S59" t="s">
        <v>26</v>
      </c>
      <c r="T59">
        <v>2222</v>
      </c>
      <c r="V59" s="1"/>
      <c r="DO59" s="199" t="s">
        <v>470</v>
      </c>
      <c r="DP59" s="199">
        <v>6</v>
      </c>
      <c r="DQ59" s="199">
        <f t="shared" si="5"/>
        <v>0</v>
      </c>
      <c r="FF59" t="s">
        <v>620</v>
      </c>
      <c r="HX59" t="s">
        <v>391</v>
      </c>
      <c r="LJ59" t="s">
        <v>522</v>
      </c>
      <c r="LK59">
        <v>0</v>
      </c>
      <c r="LX59" s="186" t="s">
        <v>1028</v>
      </c>
      <c r="UT59" t="s">
        <v>2177</v>
      </c>
      <c r="WD59" s="204" t="s">
        <v>1188</v>
      </c>
      <c r="WF59" s="204" t="s">
        <v>1188</v>
      </c>
      <c r="WG59" s="204" t="s">
        <v>1188</v>
      </c>
      <c r="WI59" s="204" t="s">
        <v>1188</v>
      </c>
      <c r="WJ59" s="204" t="s">
        <v>1188</v>
      </c>
      <c r="WL59" s="204" t="s">
        <v>1188</v>
      </c>
      <c r="WM59" s="204" t="s">
        <v>1188</v>
      </c>
      <c r="WN59" s="204" t="s">
        <v>1188</v>
      </c>
      <c r="XF59" s="436"/>
      <c r="XG59" s="436" t="s">
        <v>1985</v>
      </c>
      <c r="XH59" s="436" t="s">
        <v>2202</v>
      </c>
    </row>
    <row r="60" spans="19:632">
      <c r="S60" t="s">
        <v>113</v>
      </c>
      <c r="T60">
        <v>2223</v>
      </c>
      <c r="V60" s="1"/>
      <c r="DO60" s="199" t="s">
        <v>522</v>
      </c>
      <c r="DP60" s="199">
        <v>8</v>
      </c>
      <c r="DQ60" s="199">
        <f t="shared" si="5"/>
        <v>0</v>
      </c>
      <c r="FF60" t="s">
        <v>621</v>
      </c>
      <c r="HX60" t="s">
        <v>669</v>
      </c>
      <c r="LJ60" t="s">
        <v>523</v>
      </c>
      <c r="LK60">
        <v>0</v>
      </c>
      <c r="LX60" s="186" t="s">
        <v>1029</v>
      </c>
      <c r="UT60" t="s">
        <v>2178</v>
      </c>
      <c r="VD60" t="s">
        <v>2050</v>
      </c>
      <c r="WD60" s="204" t="s">
        <v>1872</v>
      </c>
      <c r="WF60" s="204" t="s">
        <v>1872</v>
      </c>
      <c r="WG60" s="204" t="s">
        <v>1872</v>
      </c>
      <c r="WI60" s="204" t="s">
        <v>1872</v>
      </c>
      <c r="WJ60" s="204" t="s">
        <v>1872</v>
      </c>
      <c r="WL60" s="204" t="s">
        <v>1872</v>
      </c>
      <c r="WM60" s="204" t="s">
        <v>1872</v>
      </c>
      <c r="WN60" s="204" t="s">
        <v>1872</v>
      </c>
      <c r="XF60" s="436"/>
      <c r="XG60" s="436" t="s">
        <v>1986</v>
      </c>
      <c r="XH60" s="436" t="s">
        <v>2203</v>
      </c>
    </row>
    <row r="61" spans="19:632">
      <c r="S61" t="s">
        <v>25</v>
      </c>
      <c r="T61">
        <v>2234</v>
      </c>
      <c r="V61" s="1"/>
      <c r="DO61" s="199" t="s">
        <v>523</v>
      </c>
      <c r="DP61" s="199">
        <v>6</v>
      </c>
      <c r="DQ61" s="199">
        <f t="shared" si="5"/>
        <v>0</v>
      </c>
      <c r="FF61" t="s">
        <v>1083</v>
      </c>
      <c r="HX61" t="s">
        <v>670</v>
      </c>
      <c r="LJ61" t="s">
        <v>524</v>
      </c>
      <c r="LK61">
        <v>0</v>
      </c>
      <c r="LX61" s="186" t="s">
        <v>499</v>
      </c>
      <c r="VD61" t="s">
        <v>1451</v>
      </c>
      <c r="WD61" s="204" t="s">
        <v>2157</v>
      </c>
      <c r="WF61" s="204" t="s">
        <v>2157</v>
      </c>
      <c r="WG61" s="204" t="s">
        <v>2157</v>
      </c>
      <c r="WI61" s="204" t="s">
        <v>2157</v>
      </c>
      <c r="WJ61" s="204" t="s">
        <v>2157</v>
      </c>
      <c r="WL61" s="204" t="s">
        <v>2157</v>
      </c>
      <c r="WM61" s="204" t="s">
        <v>2157</v>
      </c>
      <c r="WN61" s="204" t="s">
        <v>2157</v>
      </c>
      <c r="XF61" s="436"/>
      <c r="XG61" s="436" t="s">
        <v>1987</v>
      </c>
      <c r="XH61" s="436" t="s">
        <v>1959</v>
      </c>
    </row>
    <row r="62" spans="19:632">
      <c r="S62" t="s">
        <v>28</v>
      </c>
      <c r="T62">
        <v>2235</v>
      </c>
      <c r="V62" s="1"/>
      <c r="DO62" s="199" t="s">
        <v>524</v>
      </c>
      <c r="DP62" s="199">
        <v>6</v>
      </c>
      <c r="DQ62" s="199">
        <f t="shared" si="5"/>
        <v>0</v>
      </c>
      <c r="FF62" t="s">
        <v>622</v>
      </c>
      <c r="HX62" t="s">
        <v>671</v>
      </c>
      <c r="LJ62" t="s">
        <v>525</v>
      </c>
      <c r="LK62">
        <v>0</v>
      </c>
      <c r="LX62" s="186" t="s">
        <v>515</v>
      </c>
      <c r="VD62" t="s">
        <v>1452</v>
      </c>
      <c r="XF62" s="436"/>
      <c r="XG62" s="436" t="s">
        <v>1291</v>
      </c>
      <c r="XH62" s="35"/>
    </row>
    <row r="63" spans="19:632">
      <c r="S63" t="s">
        <v>96</v>
      </c>
      <c r="T63">
        <v>2236</v>
      </c>
      <c r="V63" s="3"/>
      <c r="DO63" s="199" t="s">
        <v>525</v>
      </c>
      <c r="DP63" s="199">
        <v>2</v>
      </c>
      <c r="DQ63" s="199">
        <f t="shared" si="5"/>
        <v>0</v>
      </c>
      <c r="FF63" t="s">
        <v>623</v>
      </c>
      <c r="HX63" t="s">
        <v>672</v>
      </c>
      <c r="LJ63" t="s">
        <v>526</v>
      </c>
      <c r="LK63">
        <v>0</v>
      </c>
      <c r="LX63" s="186" t="s">
        <v>500</v>
      </c>
      <c r="VD63" t="s">
        <v>1812</v>
      </c>
      <c r="XF63" s="436"/>
      <c r="XG63" s="436" t="s">
        <v>1292</v>
      </c>
      <c r="XH63" s="35"/>
    </row>
    <row r="64" spans="19:632">
      <c r="S64" t="s">
        <v>21</v>
      </c>
      <c r="T64">
        <v>2237</v>
      </c>
      <c r="V64" s="1"/>
      <c r="DO64" s="199" t="s">
        <v>909</v>
      </c>
      <c r="DP64" s="199">
        <v>2</v>
      </c>
      <c r="DQ64" s="199">
        <f t="shared" si="5"/>
        <v>0</v>
      </c>
      <c r="FF64" t="s">
        <v>832</v>
      </c>
      <c r="HX64" t="s">
        <v>758</v>
      </c>
      <c r="LJ64" t="s">
        <v>527</v>
      </c>
      <c r="LK64">
        <v>0</v>
      </c>
      <c r="LX64" s="186" t="s">
        <v>501</v>
      </c>
      <c r="VD64" t="s">
        <v>1813</v>
      </c>
      <c r="XF64" s="436"/>
      <c r="XG64" s="436" t="s">
        <v>1293</v>
      </c>
      <c r="XH64" s="35"/>
    </row>
    <row r="65" spans="19:632">
      <c r="S65" t="s">
        <v>27</v>
      </c>
      <c r="T65">
        <v>2191</v>
      </c>
      <c r="V65" s="2"/>
      <c r="DO65" s="199" t="s">
        <v>530</v>
      </c>
      <c r="DP65" s="199">
        <v>3</v>
      </c>
      <c r="DQ65" s="199">
        <f t="shared" si="5"/>
        <v>0</v>
      </c>
      <c r="FF65" t="s">
        <v>309</v>
      </c>
      <c r="HX65" t="s">
        <v>674</v>
      </c>
      <c r="LJ65" t="s">
        <v>528</v>
      </c>
      <c r="LK65">
        <v>0</v>
      </c>
      <c r="LX65" s="186" t="s">
        <v>502</v>
      </c>
      <c r="VD65" t="s">
        <v>2129</v>
      </c>
      <c r="XF65" s="436"/>
      <c r="XG65" s="436" t="s">
        <v>1294</v>
      </c>
      <c r="XH65" s="35"/>
    </row>
    <row r="66" spans="19:632">
      <c r="S66" t="s">
        <v>20</v>
      </c>
      <c r="T66">
        <v>2192</v>
      </c>
      <c r="V66" s="1"/>
      <c r="DO66" s="199" t="s">
        <v>531</v>
      </c>
      <c r="DP66" s="199">
        <v>3</v>
      </c>
      <c r="DQ66" s="199">
        <f t="shared" si="5"/>
        <v>0</v>
      </c>
      <c r="FF66" t="s">
        <v>868</v>
      </c>
      <c r="HX66" t="s">
        <v>770</v>
      </c>
      <c r="LJ66" t="s">
        <v>529</v>
      </c>
      <c r="LK66">
        <v>0</v>
      </c>
      <c r="LX66" s="186" t="s">
        <v>906</v>
      </c>
      <c r="VD66" t="s">
        <v>2130</v>
      </c>
      <c r="XF66" s="436"/>
      <c r="XG66" s="436" t="s">
        <v>1295</v>
      </c>
      <c r="XH66" s="35"/>
    </row>
    <row r="67" spans="19:632">
      <c r="S67" t="s">
        <v>28</v>
      </c>
      <c r="T67">
        <v>2193</v>
      </c>
      <c r="V67" s="1"/>
      <c r="DO67" s="199" t="s">
        <v>528</v>
      </c>
      <c r="DP67" s="199">
        <v>3</v>
      </c>
      <c r="DQ67" s="199">
        <f t="shared" si="5"/>
        <v>0</v>
      </c>
      <c r="FF67" t="s">
        <v>869</v>
      </c>
      <c r="HX67" t="s">
        <v>759</v>
      </c>
      <c r="LJ67" t="s">
        <v>530</v>
      </c>
      <c r="LK67">
        <v>0</v>
      </c>
      <c r="LX67" s="186" t="s">
        <v>503</v>
      </c>
      <c r="VD67" t="s">
        <v>2131</v>
      </c>
      <c r="XF67" s="436"/>
      <c r="XG67" s="436" t="s">
        <v>1312</v>
      </c>
      <c r="XH67" s="35"/>
    </row>
    <row r="68" spans="19:632">
      <c r="S68" t="s">
        <v>21</v>
      </c>
      <c r="T68">
        <v>2194</v>
      </c>
      <c r="V68" s="1"/>
      <c r="DO68" s="199" t="s">
        <v>529</v>
      </c>
      <c r="DP68" s="199">
        <v>3</v>
      </c>
      <c r="DQ68" s="199">
        <f t="shared" si="5"/>
        <v>0</v>
      </c>
      <c r="FF68" s="327" t="s">
        <v>1790</v>
      </c>
      <c r="HX68" s="327" t="s">
        <v>1786</v>
      </c>
      <c r="LJ68" t="s">
        <v>531</v>
      </c>
      <c r="LK68">
        <v>0</v>
      </c>
      <c r="LX68" s="186" t="s">
        <v>504</v>
      </c>
      <c r="VD68" t="s">
        <v>2132</v>
      </c>
      <c r="XF68" s="436"/>
      <c r="XG68" s="436" t="s">
        <v>1313</v>
      </c>
      <c r="XH68" s="35"/>
    </row>
    <row r="69" spans="19:632">
      <c r="S69" t="s">
        <v>22</v>
      </c>
      <c r="T69">
        <v>2195</v>
      </c>
      <c r="V69" s="1"/>
      <c r="DO69" s="199" t="s">
        <v>897</v>
      </c>
      <c r="DP69" s="199">
        <v>4</v>
      </c>
      <c r="DQ69" s="199">
        <f t="shared" ref="DQ69:DQ132" si="16">LEN(DO69)-LEN(SUBSTITUTE(DO69,"T",""))</f>
        <v>0</v>
      </c>
      <c r="FF69" s="327" t="s">
        <v>1783</v>
      </c>
      <c r="HX69" t="s">
        <v>679</v>
      </c>
      <c r="LJ69" t="s">
        <v>532</v>
      </c>
      <c r="LK69">
        <v>0</v>
      </c>
      <c r="LX69" s="186" t="s">
        <v>533</v>
      </c>
      <c r="VD69" t="s">
        <v>2133</v>
      </c>
      <c r="XF69" s="436"/>
      <c r="XG69" s="436" t="s">
        <v>1314</v>
      </c>
      <c r="XH69" s="35"/>
    </row>
    <row r="70" spans="19:632">
      <c r="S70" t="s">
        <v>69</v>
      </c>
      <c r="T70">
        <v>2196</v>
      </c>
      <c r="V70" s="1"/>
      <c r="DO70" s="199" t="s">
        <v>922</v>
      </c>
      <c r="DP70" s="199">
        <v>4</v>
      </c>
      <c r="DQ70" s="199">
        <f t="shared" si="16"/>
        <v>0</v>
      </c>
      <c r="FF70" t="s">
        <v>624</v>
      </c>
      <c r="HX70" t="s">
        <v>683</v>
      </c>
      <c r="LJ70" t="s">
        <v>479</v>
      </c>
      <c r="LK70">
        <v>0</v>
      </c>
      <c r="LX70" s="186" t="s">
        <v>907</v>
      </c>
      <c r="VD70" t="s">
        <v>2134</v>
      </c>
      <c r="XF70" s="436"/>
      <c r="XG70" s="436" t="s">
        <v>1315</v>
      </c>
      <c r="XH70" s="35"/>
    </row>
    <row r="71" spans="19:632">
      <c r="S71" t="s">
        <v>28</v>
      </c>
      <c r="T71">
        <v>2197</v>
      </c>
      <c r="V71" s="1"/>
      <c r="DO71" s="199" t="s">
        <v>923</v>
      </c>
      <c r="DP71" s="199">
        <v>4</v>
      </c>
      <c r="DQ71" s="199">
        <f t="shared" si="16"/>
        <v>0</v>
      </c>
      <c r="FF71" t="s">
        <v>1526</v>
      </c>
      <c r="HX71" s="327" t="s">
        <v>760</v>
      </c>
      <c r="LJ71" t="s">
        <v>480</v>
      </c>
      <c r="LK71">
        <v>1</v>
      </c>
      <c r="LX71" s="186" t="s">
        <v>908</v>
      </c>
      <c r="VD71" t="s">
        <v>2135</v>
      </c>
      <c r="XF71" s="436"/>
      <c r="XG71" s="436" t="s">
        <v>2016</v>
      </c>
      <c r="XH71" s="35"/>
    </row>
    <row r="72" spans="19:632">
      <c r="S72" t="s">
        <v>21</v>
      </c>
      <c r="T72">
        <v>2198</v>
      </c>
      <c r="V72" s="2"/>
      <c r="DO72" s="199" t="s">
        <v>924</v>
      </c>
      <c r="DP72" s="199">
        <v>4</v>
      </c>
      <c r="DQ72" s="199">
        <f t="shared" si="16"/>
        <v>0</v>
      </c>
      <c r="FF72" t="s">
        <v>625</v>
      </c>
      <c r="HX72" s="327" t="s">
        <v>761</v>
      </c>
      <c r="LJ72" t="s">
        <v>533</v>
      </c>
      <c r="LK72">
        <v>2</v>
      </c>
      <c r="LX72" s="186" t="s">
        <v>505</v>
      </c>
      <c r="VD72" t="s">
        <v>2136</v>
      </c>
      <c r="XF72" s="436"/>
      <c r="XG72" s="436" t="s">
        <v>1316</v>
      </c>
      <c r="XH72" s="35"/>
    </row>
    <row r="73" spans="19:632">
      <c r="S73" t="s">
        <v>29</v>
      </c>
      <c r="T73">
        <v>2199</v>
      </c>
      <c r="V73" s="1"/>
      <c r="DO73" s="199" t="s">
        <v>925</v>
      </c>
      <c r="DP73" s="199">
        <v>4</v>
      </c>
      <c r="DQ73" s="199">
        <f t="shared" si="16"/>
        <v>0</v>
      </c>
      <c r="FF73" t="s">
        <v>310</v>
      </c>
      <c r="HX73" s="327" t="s">
        <v>762</v>
      </c>
      <c r="LJ73" t="s">
        <v>534</v>
      </c>
      <c r="LK73">
        <v>0</v>
      </c>
      <c r="LX73" s="186" t="s">
        <v>422</v>
      </c>
      <c r="XF73" s="436"/>
      <c r="XG73" s="436" t="s">
        <v>1322</v>
      </c>
      <c r="XH73" s="35"/>
    </row>
    <row r="74" spans="19:632">
      <c r="S74" t="s">
        <v>23</v>
      </c>
      <c r="T74">
        <v>2200</v>
      </c>
      <c r="V74" s="1"/>
      <c r="DO74" s="199" t="s">
        <v>479</v>
      </c>
      <c r="DP74" s="199">
        <v>4</v>
      </c>
      <c r="DQ74" s="199">
        <f t="shared" si="16"/>
        <v>0</v>
      </c>
      <c r="FF74" t="s">
        <v>626</v>
      </c>
      <c r="HX74" s="327" t="s">
        <v>1497</v>
      </c>
      <c r="LJ74" t="s">
        <v>535</v>
      </c>
      <c r="LK74">
        <v>1</v>
      </c>
      <c r="LX74" s="186" t="s">
        <v>909</v>
      </c>
      <c r="XF74" s="436"/>
      <c r="XG74" s="436" t="s">
        <v>1323</v>
      </c>
      <c r="XH74" s="35"/>
    </row>
    <row r="75" spans="19:632">
      <c r="S75" t="s">
        <v>24</v>
      </c>
      <c r="T75">
        <v>2201</v>
      </c>
      <c r="V75" s="1"/>
      <c r="DO75" s="199" t="s">
        <v>888</v>
      </c>
      <c r="DP75" s="199">
        <v>3</v>
      </c>
      <c r="DQ75" s="199">
        <f t="shared" si="16"/>
        <v>0</v>
      </c>
      <c r="FF75" t="s">
        <v>627</v>
      </c>
      <c r="HX75" s="327" t="s">
        <v>768</v>
      </c>
      <c r="LJ75" t="s">
        <v>536</v>
      </c>
      <c r="LK75">
        <v>2</v>
      </c>
      <c r="LX75" s="186" t="s">
        <v>910</v>
      </c>
      <c r="SF75" s="178" t="s">
        <v>1924</v>
      </c>
      <c r="SH75" s="178"/>
      <c r="XF75" s="436"/>
      <c r="XG75" s="436" t="s">
        <v>1324</v>
      </c>
      <c r="XH75" s="35"/>
    </row>
    <row r="76" spans="19:632">
      <c r="S76" t="s">
        <v>78</v>
      </c>
      <c r="T76">
        <v>2202</v>
      </c>
      <c r="V76" s="89"/>
      <c r="DO76" s="199" t="s">
        <v>912</v>
      </c>
      <c r="DP76" s="199">
        <v>3</v>
      </c>
      <c r="DQ76" s="199">
        <f t="shared" si="16"/>
        <v>0</v>
      </c>
      <c r="FF76" t="s">
        <v>628</v>
      </c>
      <c r="HX76" s="327" t="s">
        <v>763</v>
      </c>
      <c r="LJ76" t="s">
        <v>483</v>
      </c>
      <c r="LK76">
        <v>0</v>
      </c>
      <c r="LX76" s="186" t="s">
        <v>529</v>
      </c>
      <c r="SF76" s="436" t="s">
        <v>2158</v>
      </c>
      <c r="XF76" s="436"/>
      <c r="XG76" s="436" t="s">
        <v>1325</v>
      </c>
      <c r="XH76" s="35"/>
    </row>
    <row r="77" spans="19:632">
      <c r="S77" t="s">
        <v>80</v>
      </c>
      <c r="T77">
        <v>2203</v>
      </c>
      <c r="V77" s="4"/>
      <c r="DO77" s="199" t="s">
        <v>889</v>
      </c>
      <c r="DP77" s="199">
        <v>3</v>
      </c>
      <c r="DQ77" s="199">
        <f t="shared" si="16"/>
        <v>0</v>
      </c>
      <c r="FF77" t="s">
        <v>629</v>
      </c>
      <c r="HX77" s="327" t="s">
        <v>764</v>
      </c>
      <c r="LJ77" t="s">
        <v>481</v>
      </c>
      <c r="LK77">
        <v>0</v>
      </c>
      <c r="LX77" s="186" t="s">
        <v>911</v>
      </c>
      <c r="SF77" s="436" t="s">
        <v>1989</v>
      </c>
      <c r="XF77" s="436"/>
      <c r="XG77" s="436" t="s">
        <v>1326</v>
      </c>
      <c r="XH77" s="35"/>
    </row>
    <row r="78" spans="19:632">
      <c r="S78" t="s">
        <v>83</v>
      </c>
      <c r="T78">
        <v>2204</v>
      </c>
      <c r="V78" s="1"/>
      <c r="DO78" s="199" t="s">
        <v>910</v>
      </c>
      <c r="DP78" s="199">
        <v>3</v>
      </c>
      <c r="DQ78" s="199">
        <f t="shared" si="16"/>
        <v>0</v>
      </c>
      <c r="FF78" t="s">
        <v>630</v>
      </c>
      <c r="HX78" s="327" t="s">
        <v>765</v>
      </c>
      <c r="LJ78" t="s">
        <v>482</v>
      </c>
      <c r="LK78">
        <v>1</v>
      </c>
      <c r="LX78" s="186" t="s">
        <v>912</v>
      </c>
      <c r="SF78" s="436" t="s">
        <v>1105</v>
      </c>
      <c r="XF78" s="436"/>
      <c r="XG78" s="436" t="s">
        <v>1968</v>
      </c>
      <c r="XH78" s="35"/>
    </row>
    <row r="79" spans="19:632">
      <c r="S79" t="s">
        <v>86</v>
      </c>
      <c r="T79">
        <v>2205</v>
      </c>
      <c r="V79" s="1"/>
      <c r="DO79" s="199" t="s">
        <v>911</v>
      </c>
      <c r="DP79" s="199">
        <v>3</v>
      </c>
      <c r="DQ79" s="199">
        <f t="shared" si="16"/>
        <v>0</v>
      </c>
      <c r="FF79" t="s">
        <v>631</v>
      </c>
      <c r="LJ79" t="s">
        <v>537</v>
      </c>
      <c r="LK79">
        <v>0</v>
      </c>
      <c r="LX79" s="186" t="s">
        <v>913</v>
      </c>
      <c r="SF79" s="436" t="s">
        <v>1882</v>
      </c>
      <c r="SI79" s="178" t="s">
        <v>1926</v>
      </c>
      <c r="SJ79" s="178" t="s">
        <v>1927</v>
      </c>
      <c r="XF79" s="436"/>
      <c r="XG79" s="436" t="s">
        <v>1967</v>
      </c>
      <c r="XH79" s="35"/>
    </row>
    <row r="80" spans="19:632">
      <c r="S80" t="s">
        <v>89</v>
      </c>
      <c r="T80">
        <v>2206</v>
      </c>
      <c r="V80" s="1"/>
      <c r="DO80" s="199" t="s">
        <v>534</v>
      </c>
      <c r="DP80" s="199">
        <v>6</v>
      </c>
      <c r="DQ80" s="199">
        <f t="shared" si="16"/>
        <v>0</v>
      </c>
      <c r="FF80" t="s">
        <v>632</v>
      </c>
      <c r="LJ80" t="s">
        <v>538</v>
      </c>
      <c r="LK80">
        <v>1</v>
      </c>
      <c r="LX80" s="186" t="s">
        <v>914</v>
      </c>
      <c r="SF80" s="436" t="s">
        <v>1162</v>
      </c>
      <c r="SI80" s="436" t="s">
        <v>1873</v>
      </c>
      <c r="SJ80" s="436" t="s">
        <v>1218</v>
      </c>
      <c r="XF80" s="436"/>
      <c r="XG80" s="436" t="s">
        <v>1969</v>
      </c>
      <c r="XH80" s="35"/>
    </row>
    <row r="81" spans="19:632">
      <c r="S81" t="s">
        <v>26</v>
      </c>
      <c r="T81">
        <v>2220</v>
      </c>
      <c r="V81" s="1"/>
      <c r="DO81" s="199" t="s">
        <v>926</v>
      </c>
      <c r="DP81" s="199">
        <v>6</v>
      </c>
      <c r="DQ81" s="199">
        <f t="shared" si="16"/>
        <v>0</v>
      </c>
      <c r="FF81" t="s">
        <v>633</v>
      </c>
      <c r="LJ81" t="s">
        <v>539</v>
      </c>
      <c r="LK81">
        <v>3</v>
      </c>
      <c r="LX81" s="186" t="s">
        <v>915</v>
      </c>
      <c r="SF81" s="436" t="s">
        <v>1883</v>
      </c>
      <c r="SI81" s="436" t="s">
        <v>1874</v>
      </c>
      <c r="SJ81" s="436" t="s">
        <v>377</v>
      </c>
      <c r="XF81" s="436"/>
      <c r="XG81" s="436" t="s">
        <v>1970</v>
      </c>
      <c r="XH81" s="35"/>
    </row>
    <row r="82" spans="19:632">
      <c r="S82" t="s">
        <v>113</v>
      </c>
      <c r="T82">
        <v>2221</v>
      </c>
      <c r="V82" s="1"/>
      <c r="DO82" s="199" t="s">
        <v>533</v>
      </c>
      <c r="DP82" s="199">
        <v>4</v>
      </c>
      <c r="DQ82" s="199">
        <f t="shared" si="16"/>
        <v>2</v>
      </c>
      <c r="FF82" t="s">
        <v>317</v>
      </c>
      <c r="LJ82" t="s">
        <v>540</v>
      </c>
      <c r="LK82">
        <v>2</v>
      </c>
      <c r="LX82" s="186" t="s">
        <v>916</v>
      </c>
      <c r="SF82" s="436" t="s">
        <v>1884</v>
      </c>
      <c r="SI82" s="436" t="s">
        <v>1875</v>
      </c>
      <c r="SJ82" s="436" t="s">
        <v>1221</v>
      </c>
      <c r="XF82" s="436"/>
      <c r="XG82" s="436" t="s">
        <v>1255</v>
      </c>
      <c r="XH82" s="35"/>
    </row>
    <row r="83" spans="19:632">
      <c r="S83" t="s">
        <v>25</v>
      </c>
      <c r="T83">
        <v>2226</v>
      </c>
      <c r="V83" s="1"/>
      <c r="DO83" s="199" t="s">
        <v>480</v>
      </c>
      <c r="DP83" s="199">
        <v>4</v>
      </c>
      <c r="DQ83" s="199">
        <f t="shared" si="16"/>
        <v>1</v>
      </c>
      <c r="FF83" t="s">
        <v>634</v>
      </c>
      <c r="LJ83" t="s">
        <v>541</v>
      </c>
      <c r="LK83">
        <v>2</v>
      </c>
      <c r="LX83" s="186" t="s">
        <v>917</v>
      </c>
      <c r="SF83" s="436" t="s">
        <v>1885</v>
      </c>
      <c r="SI83" s="436" t="s">
        <v>1876</v>
      </c>
      <c r="SJ83" s="436" t="s">
        <v>1162</v>
      </c>
      <c r="WD83" s="204" t="s">
        <v>2138</v>
      </c>
      <c r="WE83" s="204" t="s">
        <v>2139</v>
      </c>
      <c r="WF83" s="204" t="s">
        <v>2140</v>
      </c>
      <c r="WG83" s="204" t="s">
        <v>2141</v>
      </c>
      <c r="WH83" s="204" t="s">
        <v>2142</v>
      </c>
      <c r="WI83" s="204" t="s">
        <v>2143</v>
      </c>
      <c r="WJ83" s="204" t="s">
        <v>2144</v>
      </c>
      <c r="WK83" s="204" t="s">
        <v>2145</v>
      </c>
      <c r="WL83" s="204" t="s">
        <v>2146</v>
      </c>
      <c r="WM83" s="204" t="s">
        <v>2147</v>
      </c>
      <c r="WN83" s="204" t="s">
        <v>2148</v>
      </c>
      <c r="XF83" s="436"/>
      <c r="XG83" s="436" t="s">
        <v>2017</v>
      </c>
      <c r="XH83" s="35"/>
    </row>
    <row r="84" spans="19:632">
      <c r="S84" t="s">
        <v>28</v>
      </c>
      <c r="T84">
        <v>2227</v>
      </c>
      <c r="V84" s="1"/>
      <c r="DO84" s="199" t="s">
        <v>927</v>
      </c>
      <c r="DP84" s="199">
        <v>8</v>
      </c>
      <c r="DQ84" s="199">
        <f t="shared" si="16"/>
        <v>0</v>
      </c>
      <c r="FF84" t="s">
        <v>635</v>
      </c>
      <c r="LX84" s="186" t="s">
        <v>918</v>
      </c>
      <c r="SF84" s="436" t="s">
        <v>2159</v>
      </c>
      <c r="SI84" s="436" t="s">
        <v>1877</v>
      </c>
      <c r="SJ84" s="436" t="s">
        <v>1234</v>
      </c>
      <c r="WD84" t="s">
        <v>1177</v>
      </c>
      <c r="WE84" t="s">
        <v>1215</v>
      </c>
      <c r="WF84" t="s">
        <v>1177</v>
      </c>
      <c r="WG84" t="s">
        <v>1177</v>
      </c>
      <c r="WH84" t="s">
        <v>1215</v>
      </c>
      <c r="WI84" t="s">
        <v>1177</v>
      </c>
      <c r="WJ84" t="s">
        <v>1177</v>
      </c>
      <c r="WK84" t="s">
        <v>1215</v>
      </c>
      <c r="WL84" t="s">
        <v>1177</v>
      </c>
      <c r="WM84" t="s">
        <v>1177</v>
      </c>
      <c r="WN84" t="s">
        <v>1177</v>
      </c>
      <c r="XF84" s="436"/>
      <c r="XG84" s="436" t="s">
        <v>2033</v>
      </c>
    </row>
    <row r="85" spans="19:632">
      <c r="S85" t="s">
        <v>96</v>
      </c>
      <c r="T85">
        <v>2228</v>
      </c>
      <c r="V85" s="1"/>
      <c r="DO85" s="199" t="s">
        <v>898</v>
      </c>
      <c r="DP85" s="199">
        <v>8</v>
      </c>
      <c r="DQ85" s="199">
        <f t="shared" si="16"/>
        <v>1</v>
      </c>
      <c r="FF85" t="s">
        <v>636</v>
      </c>
      <c r="LX85" s="186" t="s">
        <v>1011</v>
      </c>
      <c r="SF85" s="436" t="s">
        <v>2160</v>
      </c>
      <c r="SI85" s="436" t="s">
        <v>1878</v>
      </c>
      <c r="WD85" t="s">
        <v>1178</v>
      </c>
      <c r="WE85" t="s">
        <v>1440</v>
      </c>
      <c r="WF85" t="s">
        <v>1178</v>
      </c>
      <c r="WG85" t="s">
        <v>1178</v>
      </c>
      <c r="WH85" t="s">
        <v>1440</v>
      </c>
      <c r="WI85" t="s">
        <v>1178</v>
      </c>
      <c r="WJ85" t="s">
        <v>1178</v>
      </c>
      <c r="WK85" t="s">
        <v>1440</v>
      </c>
      <c r="WL85" t="s">
        <v>1178</v>
      </c>
      <c r="WM85" t="s">
        <v>1178</v>
      </c>
      <c r="WN85" t="s">
        <v>1178</v>
      </c>
      <c r="XF85" s="436"/>
      <c r="XG85" s="436" t="s">
        <v>2029</v>
      </c>
    </row>
    <row r="86" spans="19:632">
      <c r="S86" t="s">
        <v>21</v>
      </c>
      <c r="T86">
        <v>2229</v>
      </c>
      <c r="V86" s="2"/>
      <c r="DO86" s="199" t="s">
        <v>535</v>
      </c>
      <c r="DP86" s="199">
        <v>6</v>
      </c>
      <c r="DQ86" s="199">
        <f t="shared" si="16"/>
        <v>1</v>
      </c>
      <c r="FF86" t="s">
        <v>316</v>
      </c>
      <c r="LX86" s="186" t="s">
        <v>1012</v>
      </c>
      <c r="SE86" s="178" t="s">
        <v>1923</v>
      </c>
      <c r="SF86" s="436" t="s">
        <v>1886</v>
      </c>
      <c r="SI86" s="436" t="s">
        <v>1879</v>
      </c>
      <c r="WD86" t="s">
        <v>1853</v>
      </c>
      <c r="WF86" t="s">
        <v>1853</v>
      </c>
      <c r="WG86" t="s">
        <v>1853</v>
      </c>
      <c r="WI86" t="s">
        <v>1853</v>
      </c>
      <c r="WJ86" t="s">
        <v>1853</v>
      </c>
      <c r="WL86" t="s">
        <v>1853</v>
      </c>
      <c r="WM86" t="s">
        <v>1853</v>
      </c>
      <c r="WN86" t="s">
        <v>1853</v>
      </c>
      <c r="XF86" s="436"/>
      <c r="XG86" s="436" t="s">
        <v>1256</v>
      </c>
    </row>
    <row r="87" spans="19:632">
      <c r="V87" s="1"/>
      <c r="DO87" s="199" t="s">
        <v>899</v>
      </c>
      <c r="DP87" s="199">
        <v>7</v>
      </c>
      <c r="DQ87" s="199">
        <f t="shared" si="16"/>
        <v>2</v>
      </c>
      <c r="FF87" t="s">
        <v>637</v>
      </c>
      <c r="LX87" s="186" t="s">
        <v>1017</v>
      </c>
      <c r="SE87" s="436" t="s">
        <v>1873</v>
      </c>
      <c r="SF87" s="436" t="s">
        <v>1887</v>
      </c>
      <c r="SG87" s="178" t="s">
        <v>1925</v>
      </c>
      <c r="SI87" s="436" t="s">
        <v>1880</v>
      </c>
      <c r="WD87" t="s">
        <v>1855</v>
      </c>
      <c r="WF87" t="s">
        <v>1855</v>
      </c>
      <c r="WG87" t="s">
        <v>1855</v>
      </c>
      <c r="WI87" t="s">
        <v>1855</v>
      </c>
      <c r="WJ87" t="s">
        <v>1855</v>
      </c>
      <c r="WL87" t="s">
        <v>1855</v>
      </c>
      <c r="WM87" t="s">
        <v>1855</v>
      </c>
      <c r="WN87" t="s">
        <v>1855</v>
      </c>
      <c r="XF87" s="436"/>
      <c r="XG87" s="436" t="s">
        <v>1257</v>
      </c>
    </row>
    <row r="88" spans="19:632">
      <c r="V88" s="1"/>
      <c r="DO88" s="199" t="s">
        <v>483</v>
      </c>
      <c r="DP88" s="199">
        <v>2</v>
      </c>
      <c r="DQ88" s="199">
        <f t="shared" si="16"/>
        <v>0</v>
      </c>
      <c r="FF88" s="327" t="s">
        <v>1789</v>
      </c>
      <c r="LX88" s="186" t="s">
        <v>1018</v>
      </c>
      <c r="SE88" s="436" t="s">
        <v>1874</v>
      </c>
      <c r="SF88" s="436" t="s">
        <v>1888</v>
      </c>
      <c r="SG88" s="436" t="s">
        <v>1218</v>
      </c>
      <c r="SI88" s="436" t="s">
        <v>1881</v>
      </c>
      <c r="XF88" s="436"/>
      <c r="XG88" s="436" t="s">
        <v>1258</v>
      </c>
    </row>
    <row r="89" spans="19:632">
      <c r="V89" s="1"/>
      <c r="DO89" s="199" t="s">
        <v>913</v>
      </c>
      <c r="DP89" s="199">
        <v>2</v>
      </c>
      <c r="DQ89" s="199">
        <f t="shared" si="16"/>
        <v>0</v>
      </c>
      <c r="FF89" s="327" t="s">
        <v>1782</v>
      </c>
      <c r="LX89" s="186" t="s">
        <v>919</v>
      </c>
      <c r="SE89" s="436" t="s">
        <v>1875</v>
      </c>
      <c r="SF89" s="436" t="s">
        <v>2161</v>
      </c>
      <c r="SG89" s="436" t="s">
        <v>1162</v>
      </c>
      <c r="XF89" s="436"/>
      <c r="XG89" s="436" t="s">
        <v>2030</v>
      </c>
    </row>
    <row r="90" spans="19:632">
      <c r="V90" s="1"/>
      <c r="DO90" s="199" t="s">
        <v>900</v>
      </c>
      <c r="DP90" s="199">
        <v>3</v>
      </c>
      <c r="DQ90" s="199">
        <f t="shared" si="16"/>
        <v>0</v>
      </c>
      <c r="FF90" t="s">
        <v>638</v>
      </c>
      <c r="LX90" s="186" t="s">
        <v>920</v>
      </c>
      <c r="SE90" s="436" t="s">
        <v>1876</v>
      </c>
      <c r="SF90" s="436" t="s">
        <v>2162</v>
      </c>
      <c r="SG90" s="436" t="s">
        <v>1234</v>
      </c>
      <c r="XF90" s="436"/>
      <c r="XG90" s="436" t="s">
        <v>2032</v>
      </c>
    </row>
    <row r="91" spans="19:632">
      <c r="V91" s="1"/>
      <c r="DO91" s="199" t="s">
        <v>904</v>
      </c>
      <c r="DP91" s="199">
        <v>3</v>
      </c>
      <c r="DQ91" s="199">
        <f t="shared" si="16"/>
        <v>0</v>
      </c>
      <c r="FF91" t="s">
        <v>639</v>
      </c>
      <c r="LX91" s="186" t="s">
        <v>921</v>
      </c>
      <c r="SE91" s="436" t="s">
        <v>1877</v>
      </c>
      <c r="SF91" s="436" t="s">
        <v>1889</v>
      </c>
      <c r="SG91" s="436" t="s">
        <v>1227</v>
      </c>
      <c r="XF91" s="436"/>
      <c r="XG91" s="436" t="s">
        <v>1259</v>
      </c>
    </row>
    <row r="92" spans="19:632">
      <c r="V92" s="3"/>
      <c r="DO92" s="199" t="s">
        <v>891</v>
      </c>
      <c r="DP92" s="199">
        <v>3</v>
      </c>
      <c r="DQ92" s="199">
        <f t="shared" si="16"/>
        <v>0</v>
      </c>
      <c r="FF92" t="s">
        <v>640</v>
      </c>
      <c r="LX92" s="186" t="s">
        <v>509</v>
      </c>
      <c r="SE92" s="436" t="s">
        <v>1878</v>
      </c>
      <c r="SF92" s="436" t="s">
        <v>1890</v>
      </c>
      <c r="XF92" s="436"/>
      <c r="XG92" s="436" t="s">
        <v>1971</v>
      </c>
    </row>
    <row r="93" spans="19:632">
      <c r="V93" s="5"/>
      <c r="DO93" s="199" t="s">
        <v>915</v>
      </c>
      <c r="DP93" s="199">
        <v>3</v>
      </c>
      <c r="DQ93" s="199">
        <f t="shared" si="16"/>
        <v>0</v>
      </c>
      <c r="FF93" t="s">
        <v>393</v>
      </c>
      <c r="LX93" s="186"/>
      <c r="SE93" s="436" t="s">
        <v>1879</v>
      </c>
      <c r="SF93" s="436" t="s">
        <v>2163</v>
      </c>
      <c r="XF93" s="436"/>
      <c r="XG93" s="436" t="s">
        <v>1972</v>
      </c>
    </row>
    <row r="94" spans="19:632">
      <c r="V94" s="4"/>
      <c r="DO94" s="199" t="s">
        <v>901</v>
      </c>
      <c r="DP94" s="199">
        <v>4</v>
      </c>
      <c r="DQ94" s="199">
        <f t="shared" si="16"/>
        <v>0</v>
      </c>
      <c r="LX94" s="186"/>
      <c r="SE94" s="436" t="s">
        <v>1880</v>
      </c>
      <c r="SF94" s="436" t="s">
        <v>1891</v>
      </c>
      <c r="XF94" s="436"/>
      <c r="XG94" s="436" t="s">
        <v>1973</v>
      </c>
    </row>
    <row r="95" spans="19:632">
      <c r="V95" s="4"/>
      <c r="DO95" s="199" t="s">
        <v>928</v>
      </c>
      <c r="DP95" s="199">
        <v>4</v>
      </c>
      <c r="DQ95" s="199">
        <f t="shared" si="16"/>
        <v>0</v>
      </c>
      <c r="LX95" s="186"/>
      <c r="SE95" s="436" t="s">
        <v>1881</v>
      </c>
      <c r="SF95" s="436" t="s">
        <v>2164</v>
      </c>
      <c r="XF95" s="436"/>
      <c r="XG95" s="436" t="s">
        <v>1974</v>
      </c>
    </row>
    <row r="96" spans="19:632">
      <c r="V96" s="4"/>
      <c r="DO96" s="199" t="s">
        <v>929</v>
      </c>
      <c r="DP96" s="199">
        <v>4</v>
      </c>
      <c r="DQ96" s="199">
        <f t="shared" si="16"/>
        <v>0</v>
      </c>
      <c r="LX96" s="186"/>
      <c r="XF96" s="436"/>
      <c r="XG96" s="436" t="s">
        <v>1975</v>
      </c>
    </row>
    <row r="97" spans="22:631">
      <c r="V97" s="4"/>
      <c r="DO97" s="199" t="s">
        <v>930</v>
      </c>
      <c r="DP97" s="199">
        <v>4</v>
      </c>
      <c r="DQ97" s="199">
        <f t="shared" si="16"/>
        <v>0</v>
      </c>
      <c r="LX97" s="186"/>
      <c r="XF97" s="436"/>
      <c r="XG97" s="436" t="s">
        <v>1317</v>
      </c>
    </row>
    <row r="98" spans="22:631">
      <c r="V98" s="4"/>
      <c r="DO98" s="199" t="s">
        <v>931</v>
      </c>
      <c r="DP98" s="199">
        <v>4</v>
      </c>
      <c r="DQ98" s="199">
        <f t="shared" si="16"/>
        <v>0</v>
      </c>
      <c r="LX98" s="186"/>
      <c r="XF98" s="436"/>
      <c r="XG98" s="436" t="s">
        <v>1318</v>
      </c>
    </row>
    <row r="99" spans="22:631">
      <c r="V99" s="4"/>
      <c r="DO99" s="199" t="s">
        <v>481</v>
      </c>
      <c r="DP99" s="199">
        <v>4</v>
      </c>
      <c r="DQ99" s="199">
        <f t="shared" si="16"/>
        <v>0</v>
      </c>
      <c r="XF99" s="436"/>
      <c r="XG99" s="436" t="s">
        <v>1319</v>
      </c>
    </row>
    <row r="100" spans="22:631">
      <c r="V100" s="4"/>
      <c r="DO100" s="199" t="s">
        <v>890</v>
      </c>
      <c r="DP100" s="199">
        <v>3</v>
      </c>
      <c r="DQ100" s="199">
        <f t="shared" si="16"/>
        <v>0</v>
      </c>
      <c r="SH100" s="178" t="s">
        <v>1929</v>
      </c>
      <c r="WJ100" s="35" t="s">
        <v>2047</v>
      </c>
      <c r="WK100" t="s">
        <v>2048</v>
      </c>
      <c r="WL100" s="35" t="s">
        <v>2049</v>
      </c>
      <c r="XF100" s="436"/>
      <c r="XG100" s="436" t="s">
        <v>1320</v>
      </c>
    </row>
    <row r="101" spans="22:631">
      <c r="DO101" s="199" t="s">
        <v>917</v>
      </c>
      <c r="DP101" s="199">
        <v>3</v>
      </c>
      <c r="DQ101" s="199">
        <f t="shared" si="16"/>
        <v>0</v>
      </c>
      <c r="SH101" s="436" t="s">
        <v>1906</v>
      </c>
      <c r="WJ101" s="204" t="s">
        <v>1177</v>
      </c>
      <c r="WK101" t="s">
        <v>1215</v>
      </c>
      <c r="WL101" s="204" t="s">
        <v>1177</v>
      </c>
      <c r="XF101" s="436"/>
      <c r="XG101" s="436" t="s">
        <v>1321</v>
      </c>
    </row>
    <row r="102" spans="22:631">
      <c r="DO102" s="199" t="s">
        <v>895</v>
      </c>
      <c r="DP102" s="199">
        <v>3</v>
      </c>
      <c r="DQ102" s="199">
        <f t="shared" si="16"/>
        <v>0</v>
      </c>
      <c r="SH102" s="436" t="s">
        <v>1907</v>
      </c>
      <c r="WJ102" s="204" t="s">
        <v>2155</v>
      </c>
      <c r="WK102" t="s">
        <v>1440</v>
      </c>
      <c r="WL102" s="204" t="s">
        <v>2155</v>
      </c>
      <c r="XF102" s="436"/>
      <c r="XG102" s="436" t="s">
        <v>2018</v>
      </c>
    </row>
    <row r="103" spans="22:631">
      <c r="DO103" s="199" t="s">
        <v>914</v>
      </c>
      <c r="DP103" s="199">
        <v>3</v>
      </c>
      <c r="DQ103" s="199">
        <f t="shared" si="16"/>
        <v>0</v>
      </c>
      <c r="SH103" s="436" t="s">
        <v>1908</v>
      </c>
      <c r="WJ103" s="204" t="s">
        <v>2153</v>
      </c>
      <c r="WL103" s="204" t="s">
        <v>2153</v>
      </c>
      <c r="XF103" s="436"/>
      <c r="XG103" s="436" t="s">
        <v>2019</v>
      </c>
    </row>
    <row r="104" spans="22:631">
      <c r="DO104" s="199" t="s">
        <v>916</v>
      </c>
      <c r="DP104" s="199">
        <v>3</v>
      </c>
      <c r="DQ104" s="199">
        <f t="shared" si="16"/>
        <v>0</v>
      </c>
      <c r="SH104" s="436" t="s">
        <v>1909</v>
      </c>
      <c r="SI104" s="178" t="s">
        <v>1930</v>
      </c>
      <c r="SJ104" s="178" t="s">
        <v>1931</v>
      </c>
      <c r="SK104" s="178" t="s">
        <v>1932</v>
      </c>
      <c r="WJ104" s="204" t="s">
        <v>2152</v>
      </c>
      <c r="WL104" s="204" t="s">
        <v>2152</v>
      </c>
      <c r="XF104" s="436"/>
      <c r="XG104" s="436" t="s">
        <v>1307</v>
      </c>
    </row>
    <row r="105" spans="22:631">
      <c r="DO105" s="199" t="s">
        <v>537</v>
      </c>
      <c r="DP105" s="199">
        <v>6</v>
      </c>
      <c r="DQ105" s="199">
        <f t="shared" si="16"/>
        <v>0</v>
      </c>
      <c r="SH105" s="436" t="s">
        <v>1910</v>
      </c>
      <c r="SI105" s="436" t="s">
        <v>1901</v>
      </c>
      <c r="SJ105" s="436" t="s">
        <v>1218</v>
      </c>
      <c r="SK105" s="436" t="s">
        <v>1911</v>
      </c>
      <c r="WJ105" s="204" t="s">
        <v>2154</v>
      </c>
      <c r="WL105" s="204" t="s">
        <v>2154</v>
      </c>
      <c r="XF105" s="436"/>
      <c r="XG105" s="436" t="s">
        <v>1308</v>
      </c>
    </row>
    <row r="106" spans="22:631">
      <c r="DO106" s="199" t="s">
        <v>932</v>
      </c>
      <c r="DP106" s="199">
        <v>6</v>
      </c>
      <c r="DQ106" s="199">
        <f t="shared" si="16"/>
        <v>0</v>
      </c>
      <c r="SI106" s="436" t="s">
        <v>1902</v>
      </c>
      <c r="SJ106" s="436" t="s">
        <v>1221</v>
      </c>
      <c r="SK106" s="436" t="s">
        <v>1912</v>
      </c>
      <c r="WJ106" s="204" t="s">
        <v>2156</v>
      </c>
      <c r="WL106" s="204" t="s">
        <v>2156</v>
      </c>
      <c r="XF106" s="436"/>
      <c r="XG106" s="436" t="s">
        <v>1309</v>
      </c>
    </row>
    <row r="107" spans="22:631">
      <c r="DO107" s="199" t="s">
        <v>908</v>
      </c>
      <c r="DP107" s="199">
        <v>4</v>
      </c>
      <c r="DQ107" s="199">
        <f t="shared" si="16"/>
        <v>2</v>
      </c>
      <c r="SI107" s="436" t="s">
        <v>1903</v>
      </c>
      <c r="SJ107" s="436" t="s">
        <v>1162</v>
      </c>
      <c r="SK107" s="436" t="s">
        <v>1913</v>
      </c>
      <c r="WJ107" s="204" t="s">
        <v>1178</v>
      </c>
      <c r="WL107" s="204" t="s">
        <v>1178</v>
      </c>
      <c r="XF107" s="436"/>
      <c r="XG107" s="436" t="s">
        <v>1310</v>
      </c>
    </row>
    <row r="108" spans="22:631">
      <c r="DO108" s="199" t="s">
        <v>482</v>
      </c>
      <c r="DP108" s="199">
        <v>4</v>
      </c>
      <c r="DQ108" s="199">
        <f t="shared" si="16"/>
        <v>1</v>
      </c>
      <c r="SF108" s="178" t="s">
        <v>1928</v>
      </c>
      <c r="SI108" s="436" t="s">
        <v>1904</v>
      </c>
      <c r="SJ108" s="436" t="s">
        <v>1921</v>
      </c>
      <c r="SK108" s="436" t="s">
        <v>1914</v>
      </c>
      <c r="WJ108" s="204" t="s">
        <v>1854</v>
      </c>
      <c r="WL108" s="204" t="s">
        <v>1854</v>
      </c>
      <c r="XF108" s="436"/>
      <c r="XG108" s="436" t="s">
        <v>2020</v>
      </c>
    </row>
    <row r="109" spans="22:631">
      <c r="DO109" s="199" t="s">
        <v>933</v>
      </c>
      <c r="DP109" s="199">
        <v>8</v>
      </c>
      <c r="DQ109" s="199">
        <f t="shared" si="16"/>
        <v>0</v>
      </c>
      <c r="SF109" s="436" t="s">
        <v>1892</v>
      </c>
      <c r="SI109" s="436" t="s">
        <v>1905</v>
      </c>
      <c r="SK109" s="436" t="s">
        <v>1915</v>
      </c>
      <c r="WJ109" s="204" t="s">
        <v>1869</v>
      </c>
      <c r="WL109" s="204" t="s">
        <v>1869</v>
      </c>
      <c r="XF109" s="436"/>
      <c r="XG109" s="436" t="s">
        <v>2021</v>
      </c>
    </row>
    <row r="110" spans="22:631">
      <c r="DO110" s="199" t="s">
        <v>902</v>
      </c>
      <c r="DP110" s="199">
        <v>8</v>
      </c>
      <c r="DQ110" s="199">
        <f t="shared" si="16"/>
        <v>1</v>
      </c>
      <c r="SF110" s="436" t="s">
        <v>1893</v>
      </c>
      <c r="WJ110" s="204" t="s">
        <v>1870</v>
      </c>
      <c r="WL110" s="204" t="s">
        <v>1870</v>
      </c>
      <c r="XF110" s="436"/>
      <c r="XG110" s="436" t="s">
        <v>1311</v>
      </c>
    </row>
    <row r="111" spans="22:631">
      <c r="DO111" s="199" t="s">
        <v>892</v>
      </c>
      <c r="DP111" s="199">
        <v>6</v>
      </c>
      <c r="DQ111" s="199">
        <f t="shared" si="16"/>
        <v>1</v>
      </c>
      <c r="SE111" s="178" t="s">
        <v>1922</v>
      </c>
      <c r="SF111" s="436" t="s">
        <v>1162</v>
      </c>
      <c r="WJ111" s="204" t="s">
        <v>1871</v>
      </c>
      <c r="WL111" s="204" t="s">
        <v>1871</v>
      </c>
      <c r="XF111" s="436"/>
      <c r="XG111" s="436" t="s">
        <v>2022</v>
      </c>
    </row>
    <row r="112" spans="22:631">
      <c r="DO112" s="199" t="s">
        <v>903</v>
      </c>
      <c r="DP112" s="199">
        <v>7</v>
      </c>
      <c r="DQ112" s="199">
        <f t="shared" si="16"/>
        <v>2</v>
      </c>
      <c r="SE112" s="436" t="s">
        <v>1892</v>
      </c>
      <c r="SF112" s="436" t="s">
        <v>1894</v>
      </c>
      <c r="SG112" s="178" t="s">
        <v>2034</v>
      </c>
      <c r="WJ112" s="204" t="s">
        <v>1188</v>
      </c>
      <c r="WL112" s="204" t="s">
        <v>1188</v>
      </c>
    </row>
    <row r="113" spans="119:610">
      <c r="DO113" s="199" t="s">
        <v>896</v>
      </c>
      <c r="DP113" s="199">
        <v>3</v>
      </c>
      <c r="DQ113" s="199">
        <f t="shared" si="16"/>
        <v>1</v>
      </c>
      <c r="SE113" s="436" t="s">
        <v>1893</v>
      </c>
      <c r="SF113" s="436" t="s">
        <v>1895</v>
      </c>
      <c r="SG113" s="436" t="s">
        <v>1917</v>
      </c>
      <c r="WJ113" s="204" t="s">
        <v>1872</v>
      </c>
      <c r="WL113" s="204" t="s">
        <v>1872</v>
      </c>
    </row>
    <row r="114" spans="119:610">
      <c r="DO114" s="199" t="s">
        <v>894</v>
      </c>
      <c r="DP114" s="199">
        <v>3</v>
      </c>
      <c r="DQ114" s="199">
        <f t="shared" si="16"/>
        <v>1</v>
      </c>
      <c r="SE114" s="436" t="s">
        <v>1162</v>
      </c>
      <c r="SF114" s="436" t="s">
        <v>1896</v>
      </c>
      <c r="SG114" s="436" t="s">
        <v>1918</v>
      </c>
      <c r="WJ114" s="204" t="s">
        <v>2157</v>
      </c>
      <c r="WL114" s="204" t="s">
        <v>2157</v>
      </c>
    </row>
    <row r="115" spans="119:610">
      <c r="DO115" s="199" t="s">
        <v>907</v>
      </c>
      <c r="DP115" s="199">
        <v>3</v>
      </c>
      <c r="DQ115" s="199">
        <f t="shared" si="16"/>
        <v>1</v>
      </c>
      <c r="SE115" s="436" t="s">
        <v>1894</v>
      </c>
      <c r="SF115" s="436" t="s">
        <v>1897</v>
      </c>
      <c r="SG115" s="436" t="s">
        <v>1162</v>
      </c>
    </row>
    <row r="116" spans="119:610">
      <c r="DO116" s="199" t="s">
        <v>893</v>
      </c>
      <c r="DP116" s="199">
        <v>4</v>
      </c>
      <c r="DQ116" s="199">
        <f t="shared" si="16"/>
        <v>2</v>
      </c>
      <c r="SE116" s="436" t="s">
        <v>1895</v>
      </c>
      <c r="SF116" s="436" t="s">
        <v>1898</v>
      </c>
      <c r="SG116" s="436" t="s">
        <v>1919</v>
      </c>
    </row>
    <row r="117" spans="119:610">
      <c r="DO117" s="199" t="s">
        <v>906</v>
      </c>
      <c r="DP117" s="199">
        <v>4</v>
      </c>
      <c r="DQ117" s="199">
        <f t="shared" si="16"/>
        <v>2</v>
      </c>
      <c r="SE117" s="436" t="s">
        <v>1916</v>
      </c>
      <c r="SF117" s="436" t="s">
        <v>1899</v>
      </c>
      <c r="SG117" s="436" t="s">
        <v>1889</v>
      </c>
    </row>
    <row r="118" spans="119:610">
      <c r="DO118" s="35" t="s">
        <v>1074</v>
      </c>
      <c r="DP118">
        <v>3</v>
      </c>
      <c r="DQ118" s="199">
        <f t="shared" si="16"/>
        <v>0</v>
      </c>
      <c r="SE118" s="436" t="s">
        <v>1900</v>
      </c>
      <c r="SF118" s="436" t="s">
        <v>1900</v>
      </c>
      <c r="SG118" s="436" t="s">
        <v>1920</v>
      </c>
    </row>
    <row r="119" spans="119:610">
      <c r="DO119" s="206" t="s">
        <v>1003</v>
      </c>
      <c r="DP119" s="206">
        <v>2</v>
      </c>
      <c r="DQ119" s="199">
        <f t="shared" si="16"/>
        <v>0</v>
      </c>
    </row>
    <row r="120" spans="119:610">
      <c r="DO120" s="206" t="s">
        <v>905</v>
      </c>
      <c r="DP120" s="206">
        <v>2</v>
      </c>
      <c r="DQ120" s="199">
        <f t="shared" si="16"/>
        <v>1</v>
      </c>
    </row>
    <row r="121" spans="119:610">
      <c r="DO121" s="206" t="s">
        <v>920</v>
      </c>
      <c r="DP121" s="206">
        <v>2</v>
      </c>
      <c r="DQ121" s="199">
        <f t="shared" si="16"/>
        <v>1</v>
      </c>
    </row>
    <row r="122" spans="119:610">
      <c r="DO122" s="206" t="s">
        <v>918</v>
      </c>
      <c r="DP122" s="206">
        <v>2</v>
      </c>
      <c r="DQ122" s="199">
        <f t="shared" si="16"/>
        <v>1</v>
      </c>
    </row>
    <row r="123" spans="119:610">
      <c r="DO123" s="206" t="s">
        <v>1005</v>
      </c>
      <c r="DP123" s="199">
        <v>3</v>
      </c>
      <c r="DQ123" s="199">
        <f t="shared" si="16"/>
        <v>1</v>
      </c>
    </row>
    <row r="124" spans="119:610">
      <c r="DO124" s="199" t="s">
        <v>1006</v>
      </c>
      <c r="DP124" s="199">
        <v>3</v>
      </c>
      <c r="DQ124" s="199">
        <f t="shared" si="16"/>
        <v>1</v>
      </c>
    </row>
    <row r="125" spans="119:610">
      <c r="DO125" s="199" t="s">
        <v>1007</v>
      </c>
      <c r="DP125" s="199">
        <v>3</v>
      </c>
      <c r="DQ125" s="199">
        <f t="shared" si="16"/>
        <v>1</v>
      </c>
    </row>
    <row r="126" spans="119:610">
      <c r="DO126" s="199" t="s">
        <v>1008</v>
      </c>
      <c r="DP126" s="199">
        <v>3</v>
      </c>
      <c r="DQ126" s="199">
        <f t="shared" si="16"/>
        <v>1</v>
      </c>
      <c r="WJ126" t="s">
        <v>2149</v>
      </c>
      <c r="WK126" t="s">
        <v>2150</v>
      </c>
      <c r="WL126" t="s">
        <v>2151</v>
      </c>
    </row>
    <row r="127" spans="119:610">
      <c r="DO127" s="199" t="s">
        <v>1009</v>
      </c>
      <c r="DP127" s="199">
        <v>3</v>
      </c>
      <c r="DQ127" s="199">
        <f t="shared" si="16"/>
        <v>1</v>
      </c>
      <c r="WJ127" t="s">
        <v>1177</v>
      </c>
      <c r="WK127" t="s">
        <v>1215</v>
      </c>
      <c r="WL127" t="s">
        <v>1177</v>
      </c>
    </row>
    <row r="128" spans="119:610">
      <c r="DO128" s="199" t="s">
        <v>1010</v>
      </c>
      <c r="DP128" s="199">
        <v>3</v>
      </c>
      <c r="DQ128" s="199">
        <f t="shared" si="16"/>
        <v>1</v>
      </c>
      <c r="WJ128" t="s">
        <v>1178</v>
      </c>
      <c r="WK128" t="s">
        <v>1440</v>
      </c>
      <c r="WL128" t="s">
        <v>1178</v>
      </c>
    </row>
    <row r="129" spans="119:610">
      <c r="DO129" s="199" t="s">
        <v>1011</v>
      </c>
      <c r="DP129" s="199">
        <v>3</v>
      </c>
      <c r="DQ129" s="199">
        <f t="shared" si="16"/>
        <v>1</v>
      </c>
      <c r="WJ129" t="s">
        <v>1853</v>
      </c>
      <c r="WL129" t="s">
        <v>1853</v>
      </c>
    </row>
    <row r="130" spans="119:610">
      <c r="DO130" t="s">
        <v>1012</v>
      </c>
      <c r="DP130">
        <v>3</v>
      </c>
      <c r="DQ130" s="199">
        <f t="shared" si="16"/>
        <v>1</v>
      </c>
      <c r="WJ130" t="s">
        <v>1855</v>
      </c>
      <c r="WL130" t="s">
        <v>1855</v>
      </c>
    </row>
    <row r="131" spans="119:610">
      <c r="DO131" t="s">
        <v>921</v>
      </c>
      <c r="DP131">
        <v>3</v>
      </c>
      <c r="DQ131" s="199">
        <f t="shared" si="16"/>
        <v>2</v>
      </c>
    </row>
    <row r="132" spans="119:610">
      <c r="DO132" t="s">
        <v>919</v>
      </c>
      <c r="DP132">
        <v>3</v>
      </c>
      <c r="DQ132" s="199">
        <f t="shared" si="16"/>
        <v>2</v>
      </c>
    </row>
    <row r="133" spans="119:610">
      <c r="DO133" t="s">
        <v>1013</v>
      </c>
      <c r="DP133">
        <v>4</v>
      </c>
      <c r="DQ133" s="199">
        <f t="shared" ref="DQ133:DQ157" si="17">LEN(DO133)-LEN(SUBSTITUTE(DO133,"T",""))</f>
        <v>1</v>
      </c>
    </row>
    <row r="134" spans="119:610">
      <c r="DO134" t="s">
        <v>1014</v>
      </c>
      <c r="DP134">
        <v>4</v>
      </c>
      <c r="DQ134" s="199">
        <f t="shared" si="17"/>
        <v>1</v>
      </c>
    </row>
    <row r="135" spans="119:610">
      <c r="DO135" t="s">
        <v>1015</v>
      </c>
      <c r="DP135">
        <v>4</v>
      </c>
      <c r="DQ135" s="199">
        <f t="shared" si="17"/>
        <v>2</v>
      </c>
    </row>
    <row r="136" spans="119:610">
      <c r="DO136" t="s">
        <v>1016</v>
      </c>
      <c r="DP136">
        <v>4</v>
      </c>
      <c r="DQ136" s="199">
        <f t="shared" si="17"/>
        <v>2</v>
      </c>
    </row>
    <row r="137" spans="119:610">
      <c r="DO137" t="s">
        <v>1017</v>
      </c>
      <c r="DP137">
        <v>4</v>
      </c>
      <c r="DQ137" s="199">
        <f t="shared" si="17"/>
        <v>2</v>
      </c>
    </row>
    <row r="138" spans="119:610">
      <c r="DO138" t="s">
        <v>1018</v>
      </c>
      <c r="DP138">
        <v>4</v>
      </c>
      <c r="DQ138" s="199">
        <f t="shared" si="17"/>
        <v>2</v>
      </c>
    </row>
    <row r="139" spans="119:610">
      <c r="DO139" t="s">
        <v>1019</v>
      </c>
      <c r="DP139">
        <v>5</v>
      </c>
      <c r="DQ139" s="199">
        <f t="shared" si="17"/>
        <v>2</v>
      </c>
    </row>
    <row r="140" spans="119:610">
      <c r="DO140" t="s">
        <v>1020</v>
      </c>
      <c r="DP140">
        <v>5</v>
      </c>
      <c r="DQ140" s="199">
        <f t="shared" si="17"/>
        <v>2</v>
      </c>
    </row>
    <row r="141" spans="119:610">
      <c r="DO141" t="s">
        <v>1021</v>
      </c>
      <c r="DP141">
        <v>5</v>
      </c>
      <c r="DQ141" s="199">
        <f t="shared" si="17"/>
        <v>2</v>
      </c>
    </row>
    <row r="142" spans="119:610">
      <c r="DO142" t="s">
        <v>1022</v>
      </c>
      <c r="DP142">
        <v>5</v>
      </c>
      <c r="DQ142" s="199">
        <f t="shared" si="17"/>
        <v>2</v>
      </c>
    </row>
    <row r="143" spans="119:610">
      <c r="DO143" t="s">
        <v>1023</v>
      </c>
      <c r="DP143">
        <v>5</v>
      </c>
      <c r="DQ143" s="199">
        <f t="shared" si="17"/>
        <v>2</v>
      </c>
    </row>
    <row r="144" spans="119:610">
      <c r="DO144" t="s">
        <v>1024</v>
      </c>
      <c r="DP144">
        <v>6</v>
      </c>
      <c r="DQ144" s="199">
        <f t="shared" si="17"/>
        <v>2</v>
      </c>
    </row>
    <row r="145" spans="119:501">
      <c r="DO145" t="s">
        <v>1025</v>
      </c>
      <c r="DP145">
        <v>6</v>
      </c>
      <c r="DQ145" s="199">
        <f t="shared" si="17"/>
        <v>2</v>
      </c>
    </row>
    <row r="146" spans="119:501">
      <c r="DO146" t="s">
        <v>1026</v>
      </c>
      <c r="DP146">
        <v>6</v>
      </c>
      <c r="DQ146" s="199">
        <f t="shared" si="17"/>
        <v>3</v>
      </c>
      <c r="SE146" t="s">
        <v>2213</v>
      </c>
      <c r="SF146" t="s">
        <v>2214</v>
      </c>
      <c r="SG146" t="s">
        <v>1944</v>
      </c>
    </row>
    <row r="147" spans="119:501">
      <c r="DO147" t="s">
        <v>1027</v>
      </c>
      <c r="DP147">
        <v>6</v>
      </c>
      <c r="DQ147" s="199">
        <f t="shared" si="17"/>
        <v>3</v>
      </c>
      <c r="SE147" t="s">
        <v>1934</v>
      </c>
      <c r="SF147" t="s">
        <v>2205</v>
      </c>
      <c r="SG147" s="436" t="s">
        <v>1272</v>
      </c>
    </row>
    <row r="148" spans="119:501">
      <c r="DO148" t="s">
        <v>1028</v>
      </c>
      <c r="DP148">
        <v>8</v>
      </c>
      <c r="DQ148" s="199">
        <f t="shared" si="17"/>
        <v>5</v>
      </c>
      <c r="SE148" t="s">
        <v>1935</v>
      </c>
      <c r="SF148" t="s">
        <v>1274</v>
      </c>
      <c r="SG148" s="436" t="s">
        <v>2005</v>
      </c>
    </row>
    <row r="149" spans="119:501">
      <c r="DO149" t="s">
        <v>1029</v>
      </c>
      <c r="DP149">
        <v>8</v>
      </c>
      <c r="DQ149" s="199">
        <f t="shared" si="17"/>
        <v>5</v>
      </c>
      <c r="SE149" t="s">
        <v>1276</v>
      </c>
      <c r="SF149" t="s">
        <v>2206</v>
      </c>
      <c r="SG149" s="436" t="s">
        <v>2023</v>
      </c>
    </row>
    <row r="150" spans="119:501">
      <c r="DO150" s="35" t="s">
        <v>1074</v>
      </c>
      <c r="DP150">
        <v>3</v>
      </c>
      <c r="DQ150" s="199">
        <f t="shared" si="17"/>
        <v>0</v>
      </c>
      <c r="SE150" t="s">
        <v>1936</v>
      </c>
      <c r="SF150" t="s">
        <v>2207</v>
      </c>
      <c r="SG150" s="436" t="s">
        <v>1273</v>
      </c>
    </row>
    <row r="151" spans="119:501">
      <c r="DO151" t="s">
        <v>1075</v>
      </c>
      <c r="DP151">
        <v>3</v>
      </c>
      <c r="DQ151" s="199">
        <f t="shared" si="17"/>
        <v>0</v>
      </c>
      <c r="SE151" t="s">
        <v>1937</v>
      </c>
      <c r="SF151" t="s">
        <v>1276</v>
      </c>
      <c r="SG151" s="436" t="s">
        <v>1274</v>
      </c>
    </row>
    <row r="152" spans="119:501">
      <c r="DO152" s="35" t="s">
        <v>1076</v>
      </c>
      <c r="DP152">
        <v>3</v>
      </c>
      <c r="DQ152" s="199">
        <f t="shared" si="17"/>
        <v>0</v>
      </c>
      <c r="SE152" t="s">
        <v>2198</v>
      </c>
      <c r="SF152" t="s">
        <v>2208</v>
      </c>
      <c r="SG152" s="436" t="s">
        <v>1328</v>
      </c>
    </row>
    <row r="153" spans="119:501">
      <c r="DO153" s="35" t="s">
        <v>1077</v>
      </c>
      <c r="DP153">
        <v>4</v>
      </c>
      <c r="DQ153" s="199">
        <f t="shared" si="17"/>
        <v>0</v>
      </c>
      <c r="SE153" t="s">
        <v>1942</v>
      </c>
      <c r="SF153" t="s">
        <v>2209</v>
      </c>
      <c r="SG153" s="436" t="s">
        <v>2024</v>
      </c>
    </row>
    <row r="154" spans="119:501">
      <c r="DO154" s="35" t="s">
        <v>1035</v>
      </c>
      <c r="DP154">
        <v>4</v>
      </c>
      <c r="DQ154" s="199">
        <f t="shared" si="17"/>
        <v>0</v>
      </c>
      <c r="SE154" t="s">
        <v>1960</v>
      </c>
      <c r="SF154" t="s">
        <v>2210</v>
      </c>
      <c r="SG154" s="436" t="s">
        <v>2007</v>
      </c>
    </row>
    <row r="155" spans="119:501">
      <c r="DO155" s="204" t="s">
        <v>1073</v>
      </c>
      <c r="DP155">
        <v>3</v>
      </c>
      <c r="DQ155" s="199">
        <f t="shared" si="17"/>
        <v>0</v>
      </c>
      <c r="SE155" t="s">
        <v>1961</v>
      </c>
      <c r="SF155" t="s">
        <v>2211</v>
      </c>
      <c r="SG155" s="436" t="s">
        <v>1275</v>
      </c>
    </row>
    <row r="156" spans="119:501">
      <c r="DO156" s="234" t="s">
        <v>1002</v>
      </c>
      <c r="DP156">
        <v>2</v>
      </c>
      <c r="DQ156" s="199">
        <f t="shared" si="17"/>
        <v>0</v>
      </c>
      <c r="SE156" t="s">
        <v>1962</v>
      </c>
      <c r="SF156" t="s">
        <v>2212</v>
      </c>
      <c r="SG156" s="436" t="s">
        <v>1276</v>
      </c>
    </row>
    <row r="157" spans="119:501">
      <c r="DO157" s="35" t="s">
        <v>332</v>
      </c>
      <c r="DP157" t="s">
        <v>332</v>
      </c>
      <c r="DQ157" s="199">
        <f t="shared" si="17"/>
        <v>0</v>
      </c>
      <c r="SE157" t="s">
        <v>1963</v>
      </c>
      <c r="SG157" s="436" t="s">
        <v>2025</v>
      </c>
    </row>
    <row r="158" spans="119:501">
      <c r="SE158" t="s">
        <v>1964</v>
      </c>
      <c r="SG158" s="436" t="s">
        <v>2009</v>
      </c>
    </row>
    <row r="159" spans="119:501">
      <c r="SE159" t="s">
        <v>1965</v>
      </c>
      <c r="SG159" s="436" t="s">
        <v>1329</v>
      </c>
    </row>
    <row r="160" spans="119:501">
      <c r="SE160" t="s">
        <v>1950</v>
      </c>
      <c r="SG160" s="436" t="s">
        <v>1943</v>
      </c>
    </row>
    <row r="161" spans="499:501">
      <c r="SE161" t="s">
        <v>1954</v>
      </c>
      <c r="SG161" s="436" t="s">
        <v>2026</v>
      </c>
    </row>
    <row r="162" spans="499:501">
      <c r="SE162" t="s">
        <v>1951</v>
      </c>
      <c r="SG162" s="436" t="s">
        <v>1278</v>
      </c>
    </row>
    <row r="163" spans="499:501">
      <c r="SE163" t="s">
        <v>1952</v>
      </c>
      <c r="SG163" s="436" t="s">
        <v>1279</v>
      </c>
    </row>
    <row r="164" spans="499:501">
      <c r="SE164" t="s">
        <v>1953</v>
      </c>
      <c r="SG164" s="436" t="s">
        <v>1280</v>
      </c>
    </row>
    <row r="165" spans="499:501">
      <c r="SE165" t="s">
        <v>1945</v>
      </c>
      <c r="SG165" s="436" t="s">
        <v>1331</v>
      </c>
    </row>
    <row r="166" spans="499:501">
      <c r="SE166" t="s">
        <v>1946</v>
      </c>
      <c r="SG166" s="436" t="s">
        <v>1332</v>
      </c>
    </row>
    <row r="167" spans="499:501">
      <c r="SE167" t="s">
        <v>1947</v>
      </c>
      <c r="SG167" s="436" t="s">
        <v>2027</v>
      </c>
    </row>
    <row r="168" spans="499:501">
      <c r="SE168" t="s">
        <v>2204</v>
      </c>
      <c r="SG168" s="436" t="s">
        <v>1333</v>
      </c>
    </row>
    <row r="169" spans="499:501">
      <c r="SE169" t="s">
        <v>1949</v>
      </c>
      <c r="SG169" s="436" t="s">
        <v>1282</v>
      </c>
    </row>
    <row r="170" spans="499:501">
      <c r="SE170" t="s">
        <v>1955</v>
      </c>
      <c r="SG170" s="436" t="s">
        <v>1284</v>
      </c>
    </row>
    <row r="171" spans="499:501">
      <c r="SE171" t="s">
        <v>1956</v>
      </c>
      <c r="SG171" s="436" t="s">
        <v>2011</v>
      </c>
    </row>
    <row r="172" spans="499:501">
      <c r="SE172" t="s">
        <v>1957</v>
      </c>
      <c r="SG172" s="436" t="s">
        <v>2013</v>
      </c>
    </row>
    <row r="173" spans="499:501">
      <c r="SE173" t="s">
        <v>1958</v>
      </c>
      <c r="SG173" s="436" t="s">
        <v>2015</v>
      </c>
    </row>
    <row r="174" spans="499:501">
      <c r="SE174" t="s">
        <v>2199</v>
      </c>
      <c r="SG174" s="436" t="s">
        <v>1873</v>
      </c>
    </row>
    <row r="175" spans="499:501">
      <c r="SE175" t="s">
        <v>2200</v>
      </c>
      <c r="SG175" s="436" t="s">
        <v>1874</v>
      </c>
    </row>
    <row r="176" spans="499:501">
      <c r="SE176" t="s">
        <v>2201</v>
      </c>
      <c r="SG176" s="436" t="s">
        <v>1875</v>
      </c>
    </row>
    <row r="177" spans="499:501">
      <c r="SE177" t="s">
        <v>2202</v>
      </c>
      <c r="SG177" s="436" t="s">
        <v>1876</v>
      </c>
    </row>
    <row r="178" spans="499:501">
      <c r="SE178" t="s">
        <v>2203</v>
      </c>
      <c r="SG178" s="436" t="s">
        <v>1877</v>
      </c>
    </row>
    <row r="179" spans="499:501">
      <c r="SE179" t="s">
        <v>1959</v>
      </c>
      <c r="SG179" s="436" t="s">
        <v>1878</v>
      </c>
    </row>
    <row r="180" spans="499:501">
      <c r="SG180" s="436" t="s">
        <v>1879</v>
      </c>
    </row>
    <row r="181" spans="499:501">
      <c r="SG181" s="436" t="s">
        <v>1880</v>
      </c>
    </row>
    <row r="182" spans="499:501">
      <c r="SG182" s="436" t="s">
        <v>1881</v>
      </c>
    </row>
    <row r="214" spans="499:509">
      <c r="SE214" t="s">
        <v>2229</v>
      </c>
      <c r="SF214" t="s">
        <v>2228</v>
      </c>
      <c r="SG214" t="s">
        <v>2224</v>
      </c>
      <c r="SH214" t="s">
        <v>2225</v>
      </c>
      <c r="SI214" t="s">
        <v>2226</v>
      </c>
      <c r="SJ214" t="s">
        <v>2227</v>
      </c>
      <c r="SK214" t="s">
        <v>2299</v>
      </c>
      <c r="SL214" t="s">
        <v>2230</v>
      </c>
      <c r="SM214" t="s">
        <v>2231</v>
      </c>
      <c r="SN214" t="s">
        <v>2232</v>
      </c>
      <c r="SO214" t="s">
        <v>2233</v>
      </c>
    </row>
    <row r="215" spans="499:509">
      <c r="SE215" s="199" t="s">
        <v>1901</v>
      </c>
      <c r="SF215" s="199" t="s">
        <v>1906</v>
      </c>
      <c r="SG215" s="199" t="s">
        <v>1911</v>
      </c>
      <c r="SH215" s="452" t="s">
        <v>2158</v>
      </c>
      <c r="SI215" s="199" t="s">
        <v>2166</v>
      </c>
      <c r="SJ215" s="199" t="s">
        <v>2166</v>
      </c>
      <c r="SK215" s="199" t="s">
        <v>1917</v>
      </c>
      <c r="SL215" s="199" t="s">
        <v>2167</v>
      </c>
      <c r="SM215" s="199" t="s">
        <v>1990</v>
      </c>
      <c r="SN215" s="199" t="s">
        <v>2167</v>
      </c>
      <c r="SO215" s="199" t="s">
        <v>1990</v>
      </c>
    </row>
    <row r="216" spans="499:509">
      <c r="SE216" s="199" t="s">
        <v>1902</v>
      </c>
      <c r="SF216" s="199" t="s">
        <v>1907</v>
      </c>
      <c r="SG216" s="199" t="s">
        <v>1912</v>
      </c>
      <c r="SH216" s="452" t="s">
        <v>1989</v>
      </c>
      <c r="SI216" s="199" t="s">
        <v>2168</v>
      </c>
      <c r="SJ216" s="199" t="s">
        <v>2168</v>
      </c>
      <c r="SK216" s="199" t="s">
        <v>1918</v>
      </c>
      <c r="SL216" s="199" t="s">
        <v>377</v>
      </c>
      <c r="SM216" s="199" t="s">
        <v>1997</v>
      </c>
      <c r="SN216" s="199" t="s">
        <v>377</v>
      </c>
      <c r="SO216" s="199" t="s">
        <v>1997</v>
      </c>
    </row>
    <row r="217" spans="499:509">
      <c r="SE217" s="199" t="s">
        <v>1903</v>
      </c>
      <c r="SF217" s="199" t="s">
        <v>1908</v>
      </c>
      <c r="SG217" s="199" t="s">
        <v>1913</v>
      </c>
      <c r="SH217" s="452" t="s">
        <v>1105</v>
      </c>
      <c r="SI217" s="453" t="s">
        <v>2169</v>
      </c>
      <c r="SJ217" s="453" t="s">
        <v>2169</v>
      </c>
      <c r="SK217" s="199" t="s">
        <v>1162</v>
      </c>
      <c r="SL217" s="199" t="s">
        <v>2170</v>
      </c>
      <c r="SM217" s="199"/>
      <c r="SN217" s="199" t="s">
        <v>2170</v>
      </c>
      <c r="SO217" s="199"/>
    </row>
    <row r="218" spans="499:509">
      <c r="SE218" s="199" t="s">
        <v>2165</v>
      </c>
      <c r="SF218" s="199" t="s">
        <v>1909</v>
      </c>
      <c r="SG218" s="199" t="s">
        <v>1914</v>
      </c>
      <c r="SH218" s="452" t="s">
        <v>1882</v>
      </c>
      <c r="SI218" s="199" t="s">
        <v>2171</v>
      </c>
      <c r="SJ218" s="199" t="s">
        <v>2171</v>
      </c>
      <c r="SK218" s="199" t="s">
        <v>1919</v>
      </c>
      <c r="SL218" s="199" t="s">
        <v>2172</v>
      </c>
      <c r="SM218" s="199"/>
      <c r="SN218" s="199" t="s">
        <v>2172</v>
      </c>
      <c r="SO218" s="199"/>
    </row>
    <row r="219" spans="499:509">
      <c r="SE219" s="199" t="s">
        <v>1905</v>
      </c>
      <c r="SF219" s="199" t="s">
        <v>1910</v>
      </c>
      <c r="SG219" s="199" t="s">
        <v>1915</v>
      </c>
      <c r="SH219" s="452" t="s">
        <v>1162</v>
      </c>
      <c r="SI219" s="199" t="s">
        <v>2173</v>
      </c>
      <c r="SJ219" s="199" t="s">
        <v>2173</v>
      </c>
      <c r="SK219" s="199" t="s">
        <v>1889</v>
      </c>
      <c r="SL219" s="199" t="s">
        <v>1162</v>
      </c>
      <c r="SM219" s="199"/>
      <c r="SN219" s="199" t="s">
        <v>1162</v>
      </c>
      <c r="SO219" s="199"/>
    </row>
    <row r="220" spans="499:509">
      <c r="SH220" s="452" t="s">
        <v>1883</v>
      </c>
      <c r="SI220" s="199"/>
      <c r="SJ220" s="199"/>
      <c r="SK220" s="199" t="s">
        <v>1920</v>
      </c>
      <c r="SL220" s="199" t="s">
        <v>2174</v>
      </c>
      <c r="SM220" s="199"/>
      <c r="SN220" s="199" t="s">
        <v>2174</v>
      </c>
      <c r="SO220" s="199"/>
    </row>
    <row r="221" spans="499:509">
      <c r="SH221" s="452" t="s">
        <v>1884</v>
      </c>
      <c r="SI221" s="199"/>
      <c r="SJ221" s="199"/>
      <c r="SK221" s="199"/>
      <c r="SL221" s="199" t="s">
        <v>2175</v>
      </c>
      <c r="SM221" s="199"/>
      <c r="SN221" s="199" t="s">
        <v>2175</v>
      </c>
      <c r="SO221" s="199"/>
    </row>
    <row r="222" spans="499:509">
      <c r="SH222" s="452" t="s">
        <v>1885</v>
      </c>
      <c r="SI222" s="199"/>
      <c r="SJ222" s="199"/>
      <c r="SK222" s="199"/>
      <c r="SL222" s="199" t="s">
        <v>2176</v>
      </c>
      <c r="SM222" s="199"/>
      <c r="SN222" s="199" t="s">
        <v>2176</v>
      </c>
      <c r="SO222" s="199"/>
    </row>
    <row r="223" spans="499:509">
      <c r="SH223" s="452" t="s">
        <v>2159</v>
      </c>
      <c r="SI223" s="199"/>
      <c r="SJ223" s="199"/>
      <c r="SK223" s="199"/>
      <c r="SL223" s="199"/>
      <c r="SM223" s="199"/>
      <c r="SN223" s="199"/>
      <c r="SO223" s="199"/>
    </row>
    <row r="224" spans="499:509">
      <c r="SH224" s="452" t="s">
        <v>2160</v>
      </c>
      <c r="SI224" s="199"/>
      <c r="SJ224" s="199"/>
      <c r="SK224" s="199"/>
      <c r="SL224" s="199"/>
      <c r="SM224" s="199"/>
      <c r="SN224" s="199"/>
      <c r="SO224" s="199"/>
    </row>
    <row r="225" spans="502:509">
      <c r="SH225" s="452" t="s">
        <v>1886</v>
      </c>
      <c r="SI225" s="199"/>
      <c r="SJ225" s="199"/>
      <c r="SK225" s="199"/>
      <c r="SL225" s="199"/>
      <c r="SM225" s="199"/>
      <c r="SN225" s="199"/>
      <c r="SO225" s="199"/>
    </row>
    <row r="226" spans="502:509">
      <c r="SH226" s="452" t="s">
        <v>1887</v>
      </c>
      <c r="SI226" s="199"/>
      <c r="SJ226" s="199"/>
      <c r="SK226" s="199"/>
      <c r="SL226" s="199"/>
      <c r="SM226" s="199"/>
      <c r="SN226" s="199"/>
      <c r="SO226" s="199"/>
    </row>
    <row r="227" spans="502:509">
      <c r="SH227" s="452" t="s">
        <v>1888</v>
      </c>
      <c r="SI227" s="199"/>
      <c r="SJ227" s="199"/>
      <c r="SK227" s="199"/>
      <c r="SL227" s="199"/>
      <c r="SM227" s="199"/>
      <c r="SN227" s="199"/>
      <c r="SO227" s="199"/>
    </row>
    <row r="228" spans="502:509">
      <c r="SH228" s="452" t="s">
        <v>2161</v>
      </c>
      <c r="SI228" s="199"/>
      <c r="SJ228" s="199"/>
      <c r="SK228" s="199"/>
      <c r="SL228" s="199"/>
      <c r="SM228" s="199"/>
      <c r="SN228" s="199"/>
      <c r="SO228" s="199"/>
    </row>
    <row r="229" spans="502:509">
      <c r="SH229" s="452" t="s">
        <v>2162</v>
      </c>
      <c r="SI229" s="199"/>
      <c r="SJ229" s="199"/>
      <c r="SK229" s="199"/>
      <c r="SL229" s="199"/>
      <c r="SM229" s="199"/>
      <c r="SN229" s="199"/>
      <c r="SO229" s="199"/>
    </row>
    <row r="230" spans="502:509">
      <c r="SH230" s="452" t="s">
        <v>1889</v>
      </c>
      <c r="SI230" s="199"/>
      <c r="SJ230" s="199"/>
      <c r="SK230" s="199"/>
      <c r="SL230" s="199"/>
      <c r="SM230" s="199"/>
      <c r="SN230" s="199"/>
      <c r="SO230" s="199"/>
    </row>
    <row r="231" spans="502:509">
      <c r="SH231" s="452" t="s">
        <v>1890</v>
      </c>
      <c r="SI231" s="199"/>
      <c r="SJ231" s="199"/>
      <c r="SK231" s="199"/>
      <c r="SL231" s="199"/>
      <c r="SM231" s="199"/>
      <c r="SN231" s="199"/>
      <c r="SO231" s="199"/>
    </row>
    <row r="232" spans="502:509">
      <c r="SH232" s="452" t="s">
        <v>2163</v>
      </c>
      <c r="SI232" s="199"/>
      <c r="SJ232" s="199"/>
      <c r="SK232" s="199"/>
      <c r="SL232" s="199"/>
      <c r="SM232" s="199"/>
      <c r="SN232" s="199"/>
      <c r="SO232" s="199"/>
    </row>
    <row r="233" spans="502:509">
      <c r="SH233" s="452" t="s">
        <v>1891</v>
      </c>
      <c r="SI233" s="199"/>
      <c r="SJ233" s="199"/>
      <c r="SK233" s="199"/>
      <c r="SL233" s="199"/>
      <c r="SM233" s="199"/>
      <c r="SN233" s="199"/>
      <c r="SO233" s="199"/>
    </row>
    <row r="234" spans="502:509">
      <c r="SH234" s="452" t="s">
        <v>2164</v>
      </c>
      <c r="SI234" s="199"/>
      <c r="SJ234" s="199"/>
      <c r="SK234" s="199"/>
      <c r="SL234" s="199"/>
      <c r="SM234" s="199"/>
      <c r="SN234" s="199"/>
      <c r="SO234" s="199"/>
    </row>
  </sheetData>
  <sortState xmlns:xlrd2="http://schemas.microsoft.com/office/spreadsheetml/2017/richdata2" ref="VD36:VD49">
    <sortCondition ref="VD36:VD49"/>
  </sortState>
  <mergeCells count="4">
    <mergeCell ref="AU1:AY1"/>
    <mergeCell ref="JH1:JW1"/>
    <mergeCell ref="NO1:OE1"/>
    <mergeCell ref="NO14:OE14"/>
  </mergeCells>
  <phoneticPr fontId="26" type="noConversion"/>
  <conditionalFormatting sqref="DO3:DO84">
    <cfRule type="duplicateValues" dxfId="10" priority="15"/>
  </conditionalFormatting>
  <conditionalFormatting sqref="MA2:MA14">
    <cfRule type="duplicateValues" dxfId="9" priority="14"/>
  </conditionalFormatting>
  <conditionalFormatting sqref="LZ2:LZ17 MA18:MA24">
    <cfRule type="duplicateValues" dxfId="8" priority="13"/>
  </conditionalFormatting>
  <conditionalFormatting sqref="LX2:LX17 LX26:LX65 LY18:LY25">
    <cfRule type="duplicateValues" dxfId="7" priority="12"/>
  </conditionalFormatting>
  <conditionalFormatting sqref="LY2:LY17 LZ18:LZ23">
    <cfRule type="duplicateValues" dxfId="6" priority="11"/>
  </conditionalFormatting>
  <conditionalFormatting sqref="DO4:DO123">
    <cfRule type="duplicateValues" dxfId="5" priority="10"/>
  </conditionalFormatting>
  <conditionalFormatting sqref="DO3:DO123">
    <cfRule type="duplicateValues" dxfId="4" priority="9"/>
  </conditionalFormatting>
  <conditionalFormatting sqref="DO4:DO84">
    <cfRule type="duplicateValues" dxfId="3" priority="7"/>
  </conditionalFormatting>
  <conditionalFormatting sqref="DO4:DO117 DO119:DO123">
    <cfRule type="duplicateValues" dxfId="2" priority="6"/>
  </conditionalFormatting>
  <conditionalFormatting sqref="DO4:DO117 DO119:DO123">
    <cfRule type="duplicateValues" dxfId="1" priority="5"/>
  </conditionalFormatting>
  <conditionalFormatting sqref="DO156">
    <cfRule type="duplicateValues" dxfId="0" priority="2"/>
  </conditionalFormatting>
  <hyperlinks>
    <hyperlink ref="BA37" r:id="rId1" xr:uid="{00000000-0004-0000-0A00-000000000000}"/>
    <hyperlink ref="BA36" r:id="rId2" display="shuttersales@pacificwholesale.com.au" xr:uid="{00000000-0004-0000-0A00-000001000000}"/>
    <hyperlink ref="BA35" r:id="rId3" display="shutterorders@pacificwholesale.com.au" xr:uid="{00000000-0004-0000-0A00-000002000000}"/>
    <hyperlink ref="BA26" r:id="rId4" xr:uid="{00000000-0004-0000-0A00-000003000000}"/>
    <hyperlink ref="BA25" r:id="rId5" xr:uid="{00000000-0004-0000-0A00-000004000000}"/>
  </hyperlinks>
  <pageMargins left="0.74803149606299213" right="0.74803149606299213" top="0.98425196850393704" bottom="0.98425196850393704" header="0.51181102362204722" footer="0.51181102362204722"/>
  <pageSetup paperSize="9" scale="10" firstPageNumber="4294963191" orientation="landscape" r:id="rId6"/>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pageSetUpPr fitToPage="1"/>
  </sheetPr>
  <dimension ref="A1:J58"/>
  <sheetViews>
    <sheetView zoomScaleNormal="100" workbookViewId="0">
      <selection activeCell="A27" sqref="A27"/>
    </sheetView>
  </sheetViews>
  <sheetFormatPr defaultRowHeight="12.75"/>
  <cols>
    <col min="1" max="1" width="14.5703125" style="33" customWidth="1"/>
    <col min="2" max="2" width="17.140625" style="33" customWidth="1"/>
    <col min="3" max="3" width="12.28515625" style="33" customWidth="1"/>
    <col min="4" max="4" width="12.42578125" style="33" customWidth="1"/>
    <col min="5" max="5" width="11.7109375" style="33" customWidth="1"/>
    <col min="6" max="6" width="9.42578125" style="33" customWidth="1"/>
    <col min="7" max="7" width="21.28515625" style="33" customWidth="1"/>
    <col min="8" max="8" width="12.42578125" style="33" customWidth="1"/>
    <col min="9" max="9" width="12.5703125" style="33" customWidth="1"/>
    <col min="10" max="10" width="11.85546875" style="33" customWidth="1"/>
    <col min="11" max="16384" width="9.140625" style="33"/>
  </cols>
  <sheetData>
    <row r="1" spans="1:10">
      <c r="A1" s="818"/>
      <c r="B1" s="818"/>
      <c r="C1" s="818"/>
      <c r="D1" s="818"/>
    </row>
    <row r="2" spans="1:10" ht="26.25">
      <c r="A2" s="818"/>
      <c r="B2" s="818"/>
      <c r="C2" s="818"/>
      <c r="D2" s="818"/>
      <c r="E2" s="812" t="s">
        <v>382</v>
      </c>
      <c r="F2" s="813"/>
      <c r="G2" s="813"/>
      <c r="H2" s="813"/>
      <c r="I2" s="813"/>
    </row>
    <row r="3" spans="1:10" ht="9" customHeight="1">
      <c r="A3" s="818"/>
      <c r="B3" s="818"/>
      <c r="C3" s="818"/>
      <c r="D3" s="818"/>
    </row>
    <row r="4" spans="1:10" ht="18.75" customHeight="1">
      <c r="D4" s="814" t="s">
        <v>0</v>
      </c>
      <c r="E4" s="814"/>
      <c r="F4" s="814"/>
      <c r="G4" s="815">
        <f>Summary!D3</f>
        <v>0</v>
      </c>
      <c r="H4" s="815"/>
      <c r="I4" s="815"/>
    </row>
    <row r="5" spans="1:10" ht="18.75" customHeight="1">
      <c r="A5" s="816" t="s">
        <v>979</v>
      </c>
      <c r="B5" s="816"/>
      <c r="C5" s="816"/>
      <c r="D5" s="814" t="s">
        <v>1</v>
      </c>
      <c r="E5" s="814"/>
      <c r="F5" s="814"/>
      <c r="G5" s="815">
        <f>Summary!D6</f>
        <v>0</v>
      </c>
      <c r="H5" s="815"/>
      <c r="I5" s="815"/>
    </row>
    <row r="6" spans="1:10" ht="18.75" customHeight="1">
      <c r="A6" s="816"/>
      <c r="B6" s="816"/>
      <c r="C6" s="816"/>
      <c r="D6" s="814" t="s">
        <v>978</v>
      </c>
      <c r="E6" s="814"/>
      <c r="F6" s="814"/>
      <c r="G6" s="815">
        <f>Summary!D7</f>
        <v>0</v>
      </c>
      <c r="H6" s="815"/>
      <c r="I6" s="815"/>
    </row>
    <row r="7" spans="1:10" ht="18.75" customHeight="1">
      <c r="A7" s="816"/>
      <c r="B7" s="816"/>
      <c r="C7" s="816"/>
      <c r="D7" s="814" t="s">
        <v>144</v>
      </c>
      <c r="E7" s="814"/>
      <c r="F7" s="814"/>
      <c r="G7" s="817">
        <f>Summary!D8</f>
        <v>0</v>
      </c>
      <c r="H7" s="817"/>
      <c r="I7" s="817"/>
    </row>
    <row r="8" spans="1:10">
      <c r="A8" s="816"/>
      <c r="B8" s="816"/>
      <c r="C8" s="816"/>
    </row>
    <row r="9" spans="1:10" s="431" customFormat="1" ht="21" customHeight="1">
      <c r="A9" s="429" t="s">
        <v>192</v>
      </c>
      <c r="B9" s="809" t="s">
        <v>1810</v>
      </c>
      <c r="C9" s="809"/>
      <c r="D9" s="809" t="s">
        <v>193</v>
      </c>
      <c r="E9" s="809"/>
      <c r="F9" s="810" t="s">
        <v>1780</v>
      </c>
      <c r="G9" s="810"/>
      <c r="H9" s="810"/>
      <c r="I9" s="810"/>
      <c r="J9" s="430"/>
    </row>
    <row r="10" spans="1:10" s="431" customFormat="1" ht="21" customHeight="1">
      <c r="A10" s="432"/>
      <c r="B10" s="809"/>
      <c r="C10" s="809"/>
      <c r="D10" s="811" t="s">
        <v>194</v>
      </c>
      <c r="E10" s="811"/>
      <c r="F10" s="810" t="s">
        <v>1780</v>
      </c>
      <c r="G10" s="810"/>
      <c r="H10" s="810"/>
      <c r="I10" s="810"/>
      <c r="J10" s="430"/>
    </row>
    <row r="25" spans="1:10" s="98" customFormat="1" ht="15.75" customHeight="1">
      <c r="A25" s="806" t="s">
        <v>977</v>
      </c>
      <c r="B25" s="807" t="s">
        <v>181</v>
      </c>
      <c r="C25" s="806" t="s">
        <v>976</v>
      </c>
      <c r="D25" s="806" t="s">
        <v>975</v>
      </c>
      <c r="E25" s="806" t="s">
        <v>974</v>
      </c>
      <c r="F25" s="801" t="s">
        <v>195</v>
      </c>
      <c r="G25" s="801" t="s">
        <v>1030</v>
      </c>
      <c r="H25" s="803" t="s">
        <v>196</v>
      </c>
      <c r="I25" s="804"/>
      <c r="J25" s="805"/>
    </row>
    <row r="26" spans="1:10" s="98" customFormat="1" ht="15">
      <c r="A26" s="806"/>
      <c r="B26" s="808"/>
      <c r="C26" s="806"/>
      <c r="D26" s="806"/>
      <c r="E26" s="806"/>
      <c r="F26" s="802"/>
      <c r="G26" s="802"/>
      <c r="H26" s="222" t="s">
        <v>197</v>
      </c>
      <c r="I26" s="221" t="s">
        <v>198</v>
      </c>
      <c r="J26" s="220" t="s">
        <v>199</v>
      </c>
    </row>
    <row r="27" spans="1:10" s="99" customFormat="1" ht="28.5" customHeight="1">
      <c r="A27" s="31"/>
      <c r="B27" s="32"/>
      <c r="C27" s="31"/>
      <c r="D27" s="31"/>
      <c r="E27" s="31"/>
      <c r="F27" s="31"/>
      <c r="G27" s="31"/>
      <c r="H27" s="31"/>
      <c r="I27" s="31"/>
      <c r="J27" s="31"/>
    </row>
    <row r="28" spans="1:10" s="99" customFormat="1" ht="28.5" customHeight="1">
      <c r="A28" s="31"/>
      <c r="B28" s="32"/>
      <c r="C28" s="31"/>
      <c r="D28" s="31"/>
      <c r="E28" s="31"/>
      <c r="F28" s="31"/>
      <c r="G28" s="31"/>
      <c r="H28" s="31"/>
      <c r="I28" s="31"/>
      <c r="J28" s="31"/>
    </row>
    <row r="29" spans="1:10" s="99" customFormat="1" ht="28.5" customHeight="1">
      <c r="A29" s="31"/>
      <c r="B29" s="32"/>
      <c r="C29" s="31"/>
      <c r="D29" s="31"/>
      <c r="E29" s="31"/>
      <c r="F29" s="31"/>
      <c r="G29" s="31"/>
      <c r="H29" s="31"/>
      <c r="I29" s="31"/>
      <c r="J29" s="31"/>
    </row>
    <row r="30" spans="1:10" s="99" customFormat="1" ht="28.5" customHeight="1">
      <c r="A30" s="31"/>
      <c r="B30" s="32"/>
      <c r="C30" s="31"/>
      <c r="D30" s="31"/>
      <c r="E30" s="31"/>
      <c r="F30" s="31"/>
      <c r="G30" s="31"/>
      <c r="H30" s="31"/>
      <c r="I30" s="31"/>
      <c r="J30" s="31"/>
    </row>
    <row r="31" spans="1:10" s="99" customFormat="1" ht="28.5" customHeight="1">
      <c r="A31" s="31"/>
      <c r="B31" s="32"/>
      <c r="C31" s="31"/>
      <c r="D31" s="31"/>
      <c r="E31" s="31"/>
      <c r="F31" s="31"/>
      <c r="G31" s="31"/>
      <c r="H31" s="31"/>
      <c r="I31" s="31"/>
      <c r="J31" s="31"/>
    </row>
    <row r="32" spans="1:10" s="99" customFormat="1" ht="28.5" customHeight="1">
      <c r="A32" s="31"/>
      <c r="B32" s="32"/>
      <c r="C32" s="31"/>
      <c r="D32" s="31"/>
      <c r="E32" s="31"/>
      <c r="F32" s="31"/>
      <c r="G32" s="31"/>
      <c r="H32" s="31"/>
      <c r="I32" s="31"/>
      <c r="J32" s="31"/>
    </row>
    <row r="33" spans="1:10" s="99" customFormat="1" ht="28.5" customHeight="1">
      <c r="A33" s="31"/>
      <c r="B33" s="32"/>
      <c r="C33" s="31"/>
      <c r="D33" s="31"/>
      <c r="E33" s="31"/>
      <c r="F33" s="31"/>
      <c r="G33" s="31"/>
      <c r="H33" s="31"/>
      <c r="I33" s="31"/>
      <c r="J33" s="31"/>
    </row>
    <row r="34" spans="1:10" s="99" customFormat="1" ht="28.5" customHeight="1">
      <c r="A34" s="31"/>
      <c r="B34" s="32"/>
      <c r="C34" s="31"/>
      <c r="D34" s="31"/>
      <c r="E34" s="31"/>
      <c r="F34" s="31"/>
      <c r="G34" s="31"/>
      <c r="H34" s="31"/>
      <c r="I34" s="31"/>
      <c r="J34" s="31"/>
    </row>
    <row r="35" spans="1:10" s="99" customFormat="1" ht="28.5" customHeight="1">
      <c r="A35" s="31"/>
      <c r="B35" s="32"/>
      <c r="C35" s="31"/>
      <c r="D35" s="31"/>
      <c r="E35" s="31"/>
      <c r="F35" s="31"/>
      <c r="G35" s="31"/>
      <c r="H35" s="31"/>
      <c r="I35" s="31"/>
      <c r="J35" s="31"/>
    </row>
    <row r="36" spans="1:10" s="99" customFormat="1" ht="28.5" customHeight="1">
      <c r="A36" s="31"/>
      <c r="B36" s="32"/>
      <c r="C36" s="31"/>
      <c r="D36" s="31"/>
      <c r="E36" s="31"/>
      <c r="F36" s="31"/>
      <c r="G36" s="31"/>
      <c r="H36" s="31"/>
      <c r="I36" s="31"/>
      <c r="J36" s="31"/>
    </row>
    <row r="37" spans="1:10" s="99" customFormat="1" ht="28.5" customHeight="1">
      <c r="A37" s="31"/>
      <c r="B37" s="32"/>
      <c r="C37" s="31"/>
      <c r="D37" s="31"/>
      <c r="E37" s="31"/>
      <c r="F37" s="31"/>
      <c r="G37" s="31"/>
      <c r="H37" s="31"/>
      <c r="I37" s="31"/>
      <c r="J37" s="31"/>
    </row>
    <row r="38" spans="1:10" s="99" customFormat="1" ht="28.5" customHeight="1">
      <c r="A38" s="31"/>
      <c r="B38" s="32"/>
      <c r="C38" s="31"/>
      <c r="D38" s="31"/>
      <c r="E38" s="31"/>
      <c r="F38" s="31"/>
      <c r="G38" s="31"/>
      <c r="H38" s="31"/>
      <c r="I38" s="31"/>
      <c r="J38" s="31"/>
    </row>
    <row r="39" spans="1:10" s="99" customFormat="1" ht="28.5" customHeight="1">
      <c r="A39" s="31"/>
      <c r="B39" s="32"/>
      <c r="C39" s="31"/>
      <c r="D39" s="31"/>
      <c r="E39" s="31"/>
      <c r="F39" s="31"/>
      <c r="G39" s="31"/>
      <c r="H39" s="31"/>
      <c r="I39" s="31"/>
      <c r="J39" s="31"/>
    </row>
    <row r="40" spans="1:10" s="99" customFormat="1" ht="28.5" customHeight="1">
      <c r="A40" s="31"/>
      <c r="B40" s="32"/>
      <c r="C40" s="31"/>
      <c r="D40" s="31"/>
      <c r="E40" s="31"/>
      <c r="F40" s="31"/>
      <c r="G40" s="31"/>
      <c r="H40" s="31"/>
      <c r="I40" s="31"/>
      <c r="J40" s="31"/>
    </row>
    <row r="41" spans="1:10" s="99" customFormat="1" ht="28.5" customHeight="1">
      <c r="A41" s="31"/>
      <c r="B41" s="32"/>
      <c r="C41" s="31"/>
      <c r="D41" s="31"/>
      <c r="E41" s="31"/>
      <c r="F41" s="31"/>
      <c r="G41" s="31"/>
      <c r="H41" s="31"/>
      <c r="I41" s="31"/>
      <c r="J41" s="31"/>
    </row>
    <row r="42" spans="1:10" s="99" customFormat="1" ht="28.5" customHeight="1">
      <c r="A42" s="31"/>
      <c r="B42" s="32"/>
      <c r="C42" s="31"/>
      <c r="D42" s="31"/>
      <c r="E42" s="31"/>
      <c r="F42" s="31"/>
      <c r="G42" s="31"/>
      <c r="H42" s="31"/>
      <c r="I42" s="31"/>
      <c r="J42" s="31"/>
    </row>
    <row r="43" spans="1:10" s="99" customFormat="1" ht="28.5" customHeight="1">
      <c r="A43" s="31"/>
      <c r="B43" s="32"/>
      <c r="C43" s="31"/>
      <c r="D43" s="31"/>
      <c r="E43" s="31"/>
      <c r="F43" s="31"/>
      <c r="G43" s="31"/>
      <c r="H43" s="31"/>
      <c r="I43" s="31"/>
      <c r="J43" s="31"/>
    </row>
    <row r="44" spans="1:10" s="99" customFormat="1" ht="28.5" customHeight="1">
      <c r="A44" s="31"/>
      <c r="B44" s="32"/>
      <c r="C44" s="31"/>
      <c r="D44" s="31"/>
      <c r="E44" s="31"/>
      <c r="F44" s="31"/>
      <c r="G44" s="31"/>
      <c r="H44" s="31"/>
      <c r="I44" s="31"/>
      <c r="J44" s="31"/>
    </row>
    <row r="45" spans="1:10" s="99" customFormat="1" ht="28.5" customHeight="1">
      <c r="A45" s="31"/>
      <c r="B45" s="32"/>
      <c r="C45" s="31"/>
      <c r="D45" s="31"/>
      <c r="E45" s="31"/>
      <c r="F45" s="31"/>
      <c r="G45" s="31"/>
      <c r="H45" s="31"/>
      <c r="I45" s="31"/>
      <c r="J45" s="31"/>
    </row>
    <row r="46" spans="1:10" s="99" customFormat="1" ht="28.5" customHeight="1">
      <c r="A46" s="31"/>
      <c r="B46" s="32"/>
      <c r="C46" s="31"/>
      <c r="D46" s="31"/>
      <c r="E46" s="31"/>
      <c r="F46" s="31"/>
      <c r="G46" s="31"/>
      <c r="H46" s="31"/>
      <c r="I46" s="31"/>
      <c r="J46" s="31"/>
    </row>
    <row r="47" spans="1:10" s="99" customFormat="1" ht="28.5" customHeight="1">
      <c r="A47" s="31"/>
      <c r="B47" s="32"/>
      <c r="C47" s="31"/>
      <c r="D47" s="31"/>
      <c r="E47" s="31"/>
      <c r="F47" s="31"/>
      <c r="G47" s="31"/>
      <c r="H47" s="31"/>
      <c r="I47" s="31"/>
      <c r="J47" s="31"/>
    </row>
    <row r="48" spans="1:10" s="99" customFormat="1" ht="28.5" customHeight="1">
      <c r="A48" s="31"/>
      <c r="B48" s="32"/>
      <c r="C48" s="31"/>
      <c r="D48" s="31"/>
      <c r="E48" s="31"/>
      <c r="F48" s="31"/>
      <c r="G48" s="31"/>
      <c r="H48" s="31"/>
      <c r="I48" s="31"/>
      <c r="J48" s="31"/>
    </row>
    <row r="49" spans="1:10" s="99" customFormat="1" ht="28.5" customHeight="1">
      <c r="A49" s="31"/>
      <c r="B49" s="32"/>
      <c r="C49" s="31"/>
      <c r="D49" s="31"/>
      <c r="E49" s="31"/>
      <c r="F49" s="31"/>
      <c r="G49" s="31"/>
      <c r="H49" s="31"/>
      <c r="I49" s="31"/>
      <c r="J49" s="31"/>
    </row>
    <row r="50" spans="1:10" s="99" customFormat="1" ht="28.5" customHeight="1">
      <c r="A50" s="31"/>
      <c r="B50" s="32"/>
      <c r="C50" s="31"/>
      <c r="D50" s="31"/>
      <c r="E50" s="31"/>
      <c r="F50" s="31"/>
      <c r="G50" s="31"/>
      <c r="H50" s="31"/>
      <c r="I50" s="31"/>
      <c r="J50" s="31"/>
    </row>
    <row r="51" spans="1:10" s="99" customFormat="1" ht="28.5" customHeight="1">
      <c r="A51" s="31"/>
      <c r="B51" s="32"/>
      <c r="C51" s="31"/>
      <c r="D51" s="31"/>
      <c r="E51" s="31"/>
      <c r="F51" s="31"/>
      <c r="G51" s="31"/>
      <c r="H51" s="31"/>
      <c r="I51" s="31"/>
      <c r="J51" s="31"/>
    </row>
    <row r="52" spans="1:10" s="99" customFormat="1" ht="28.5" customHeight="1">
      <c r="A52" s="31"/>
      <c r="B52" s="32"/>
      <c r="C52" s="31"/>
      <c r="D52" s="31"/>
      <c r="E52" s="31"/>
      <c r="F52" s="31"/>
      <c r="G52" s="31"/>
      <c r="H52" s="31"/>
      <c r="I52" s="31"/>
      <c r="J52" s="31"/>
    </row>
    <row r="53" spans="1:10" s="99" customFormat="1" ht="28.5" customHeight="1">
      <c r="A53" s="31"/>
      <c r="B53" s="32"/>
      <c r="C53" s="31"/>
      <c r="D53" s="31"/>
      <c r="E53" s="31"/>
      <c r="F53" s="31"/>
      <c r="G53" s="31"/>
      <c r="H53" s="31"/>
      <c r="I53" s="31"/>
      <c r="J53" s="31"/>
    </row>
    <row r="54" spans="1:10" s="99" customFormat="1" ht="28.5" customHeight="1">
      <c r="A54" s="31"/>
      <c r="B54" s="32"/>
      <c r="C54" s="31"/>
      <c r="D54" s="31"/>
      <c r="E54" s="31"/>
      <c r="F54" s="31"/>
      <c r="G54" s="31"/>
      <c r="H54" s="31"/>
      <c r="I54" s="31"/>
      <c r="J54" s="31"/>
    </row>
    <row r="55" spans="1:10" s="99" customFormat="1" ht="28.5" customHeight="1">
      <c r="A55" s="31"/>
      <c r="B55" s="32"/>
      <c r="C55" s="31"/>
      <c r="D55" s="31"/>
      <c r="E55" s="31"/>
      <c r="F55" s="31"/>
      <c r="G55" s="31"/>
      <c r="H55" s="31"/>
      <c r="I55" s="31"/>
      <c r="J55" s="31"/>
    </row>
    <row r="56" spans="1:10" s="99" customFormat="1" ht="28.5" customHeight="1">
      <c r="A56" s="31"/>
      <c r="B56" s="32"/>
      <c r="C56" s="31"/>
      <c r="D56" s="31"/>
      <c r="E56" s="31"/>
      <c r="F56" s="31"/>
      <c r="G56" s="31"/>
      <c r="H56" s="31"/>
      <c r="I56" s="31"/>
      <c r="J56" s="31"/>
    </row>
    <row r="57" spans="1:10" s="99" customFormat="1" ht="28.5" customHeight="1">
      <c r="A57" s="31"/>
      <c r="B57" s="32"/>
      <c r="C57" s="31"/>
      <c r="D57" s="31"/>
      <c r="E57" s="31"/>
      <c r="F57" s="31"/>
      <c r="G57" s="31"/>
      <c r="H57" s="31"/>
      <c r="I57" s="31"/>
      <c r="J57" s="31"/>
    </row>
    <row r="58" spans="1:10">
      <c r="B58" s="34"/>
    </row>
  </sheetData>
  <sheetProtection algorithmName="SHA-512" hashValue="4pR3kPzoiKqiZYMI1pfAf0fkw6M1Iy3bUnTPoOE56bEmRQrFVVNReXQtleqh0C0zO6NIl0znrwDLMeEWmku6Hw==" saltValue="38gEcTydo+QczjPNbU8TKw==" spinCount="100000" sheet="1" objects="1" scenarios="1"/>
  <protectedRanges>
    <protectedRange sqref="J9:J10" name="Range1"/>
  </protectedRanges>
  <mergeCells count="25">
    <mergeCell ref="E2:I2"/>
    <mergeCell ref="D4:F4"/>
    <mergeCell ref="G4:I4"/>
    <mergeCell ref="A5:C8"/>
    <mergeCell ref="D5:F5"/>
    <mergeCell ref="G5:I5"/>
    <mergeCell ref="D6:F6"/>
    <mergeCell ref="G6:I6"/>
    <mergeCell ref="D7:F7"/>
    <mergeCell ref="G7:I7"/>
    <mergeCell ref="A1:D3"/>
    <mergeCell ref="B9:C9"/>
    <mergeCell ref="B10:C10"/>
    <mergeCell ref="F9:I9"/>
    <mergeCell ref="F10:I10"/>
    <mergeCell ref="D9:E9"/>
    <mergeCell ref="D10:E10"/>
    <mergeCell ref="G25:G26"/>
    <mergeCell ref="H25:J25"/>
    <mergeCell ref="A25:A26"/>
    <mergeCell ref="B25:B26"/>
    <mergeCell ref="C25:C26"/>
    <mergeCell ref="D25:D26"/>
    <mergeCell ref="E25:E26"/>
    <mergeCell ref="F25:F26"/>
  </mergeCells>
  <dataValidations disablePrompts="1" count="8">
    <dataValidation type="list" allowBlank="1" showInputMessage="1" showErrorMessage="1" errorTitle="Invalid Entry" error="Invalid Entry" sqref="E27:E57" xr:uid="{00000000-0002-0000-0B00-000000000000}">
      <formula1>ACTNAM</formula1>
    </dataValidation>
    <dataValidation type="list" allowBlank="1" showInputMessage="1" showErrorMessage="1" errorTitle="Invalid Entry" error="Invalid Entry" sqref="F27:F57" xr:uid="{00000000-0002-0000-0B00-000001000000}">
      <formula1>ButtThru</formula1>
    </dataValidation>
    <dataValidation type="list" allowBlank="1" showInputMessage="1" showErrorMessage="1" errorTitle="Invalid Entry" error="Invalid Entry" sqref="C27:C57" xr:uid="{00000000-0002-0000-0B00-000002000000}">
      <formula1>LHRHCorner</formula1>
    </dataValidation>
    <dataValidation type="list" allowBlank="1" showInputMessage="1" showErrorMessage="1" errorTitle="Invalid Entry" error="Invalid Entry" sqref="D27:D57" xr:uid="{00000000-0002-0000-0B00-000003000000}">
      <formula1>FaceRecess</formula1>
    </dataValidation>
    <dataValidation type="list" allowBlank="1" showInputMessage="1" showErrorMessage="1" errorTitle="Invalid Entry" error="Invalid Entry" sqref="B27:B57" xr:uid="{00000000-0002-0000-0B00-000004000000}">
      <formula1>BlindType</formula1>
    </dataValidation>
    <dataValidation type="list" allowBlank="1" showInputMessage="1" showErrorMessage="1" errorTitle="Invalid Entry" error="Invalid Entry" sqref="G27:G57" xr:uid="{00000000-0002-0000-0B00-000005000000}">
      <formula1>INDIRECT(D27)</formula1>
    </dataValidation>
    <dataValidation type="list" allowBlank="1" showInputMessage="1" showErrorMessage="1" errorTitle="Invalid Entry" error="Invalid Entry" sqref="F9:I10" xr:uid="{382153B4-6FF0-4B63-A5A5-D02AF496AEF0}">
      <formula1>CMBEmail</formula1>
    </dataValidation>
    <dataValidation type="list" allowBlank="1" showInputMessage="1" showErrorMessage="1" errorTitle="Invalid Entry" error="Invalid Entry" sqref="B9:C9" xr:uid="{08476989-4ED6-47FF-9601-1EA29CED9293}">
      <formula1>CMBPhone2</formula1>
    </dataValidation>
  </dataValidations>
  <printOptions horizontalCentered="1"/>
  <pageMargins left="0.19685039370078741" right="0.19685039370078741" top="0.23622047244094491" bottom="0.23622047244094491" header="0.19685039370078741" footer="0.19685039370078741"/>
  <pageSetup paperSize="9" scale="65"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0.749992370372631"/>
    <pageSetUpPr fitToPage="1"/>
  </sheetPr>
  <dimension ref="A1:L58"/>
  <sheetViews>
    <sheetView zoomScaleNormal="100" workbookViewId="0">
      <selection activeCell="A27" sqref="A27"/>
    </sheetView>
  </sheetViews>
  <sheetFormatPr defaultRowHeight="12.75"/>
  <cols>
    <col min="1" max="1" width="12.85546875" style="33" customWidth="1"/>
    <col min="2" max="2" width="20.5703125" style="33" customWidth="1"/>
    <col min="3" max="3" width="11.42578125" style="33" customWidth="1"/>
    <col min="4" max="4" width="13.140625" style="33" customWidth="1"/>
    <col min="5" max="5" width="21.28515625" style="33" customWidth="1"/>
    <col min="6" max="6" width="7.7109375" style="33" customWidth="1"/>
    <col min="7" max="12" width="10.42578125" style="33" customWidth="1"/>
    <col min="13" max="16384" width="9.140625" style="33"/>
  </cols>
  <sheetData>
    <row r="1" spans="1:11">
      <c r="A1" s="818"/>
      <c r="B1" s="818"/>
      <c r="C1" s="818"/>
      <c r="D1" s="818"/>
    </row>
    <row r="2" spans="1:11" ht="26.25">
      <c r="A2" s="818"/>
      <c r="B2" s="818"/>
      <c r="C2" s="818"/>
      <c r="D2" s="818"/>
      <c r="E2" s="825" t="s">
        <v>383</v>
      </c>
      <c r="F2" s="813"/>
      <c r="G2" s="813"/>
      <c r="H2" s="813"/>
      <c r="I2" s="813"/>
      <c r="J2" s="813"/>
      <c r="K2" s="813"/>
    </row>
    <row r="3" spans="1:11" ht="9" customHeight="1">
      <c r="A3" s="818"/>
      <c r="B3" s="818"/>
      <c r="C3" s="818"/>
      <c r="D3" s="818"/>
    </row>
    <row r="4" spans="1:11" ht="18.75" customHeight="1">
      <c r="D4" s="814" t="s">
        <v>0</v>
      </c>
      <c r="E4" s="814"/>
      <c r="F4" s="814"/>
      <c r="G4" s="814"/>
      <c r="H4" s="815">
        <f>Summary!D3</f>
        <v>0</v>
      </c>
      <c r="I4" s="815"/>
      <c r="J4" s="815"/>
      <c r="K4" s="815"/>
    </row>
    <row r="5" spans="1:11" ht="18.75" customHeight="1">
      <c r="A5" s="816" t="s">
        <v>979</v>
      </c>
      <c r="B5" s="816"/>
      <c r="C5" s="816"/>
      <c r="D5" s="814" t="s">
        <v>1</v>
      </c>
      <c r="E5" s="814"/>
      <c r="F5" s="814"/>
      <c r="G5" s="814"/>
      <c r="H5" s="815">
        <f>Summary!D6</f>
        <v>0</v>
      </c>
      <c r="I5" s="815"/>
      <c r="J5" s="815"/>
      <c r="K5" s="815"/>
    </row>
    <row r="6" spans="1:11" ht="18.75" customHeight="1">
      <c r="A6" s="816"/>
      <c r="B6" s="816"/>
      <c r="C6" s="816"/>
      <c r="D6" s="814" t="s">
        <v>978</v>
      </c>
      <c r="E6" s="814"/>
      <c r="F6" s="814"/>
      <c r="G6" s="814"/>
      <c r="H6" s="815">
        <f>Summary!D7</f>
        <v>0</v>
      </c>
      <c r="I6" s="815"/>
      <c r="J6" s="815"/>
      <c r="K6" s="815"/>
    </row>
    <row r="7" spans="1:11" ht="18.75" customHeight="1">
      <c r="A7" s="816"/>
      <c r="B7" s="816"/>
      <c r="C7" s="816"/>
      <c r="D7" s="814" t="s">
        <v>144</v>
      </c>
      <c r="E7" s="814"/>
      <c r="F7" s="814"/>
      <c r="G7" s="814"/>
      <c r="H7" s="817">
        <f>Summary!D8</f>
        <v>0</v>
      </c>
      <c r="I7" s="817"/>
      <c r="J7" s="817"/>
      <c r="K7" s="817"/>
    </row>
    <row r="8" spans="1:11">
      <c r="A8" s="816"/>
      <c r="B8" s="816"/>
      <c r="C8" s="816"/>
    </row>
    <row r="9" spans="1:11" s="431" customFormat="1" ht="21" customHeight="1">
      <c r="A9" s="429" t="s">
        <v>192</v>
      </c>
      <c r="B9" s="809" t="s">
        <v>1810</v>
      </c>
      <c r="C9" s="809"/>
      <c r="D9" s="809" t="s">
        <v>193</v>
      </c>
      <c r="E9" s="809"/>
      <c r="F9" s="809"/>
      <c r="G9" s="810" t="s">
        <v>1780</v>
      </c>
      <c r="H9" s="810"/>
      <c r="I9" s="810"/>
      <c r="J9" s="810"/>
      <c r="K9" s="810"/>
    </row>
    <row r="10" spans="1:11" s="431" customFormat="1" ht="21" customHeight="1">
      <c r="A10" s="432"/>
      <c r="B10" s="809"/>
      <c r="C10" s="809"/>
      <c r="D10" s="811" t="s">
        <v>194</v>
      </c>
      <c r="E10" s="811"/>
      <c r="F10" s="811"/>
      <c r="G10" s="810" t="s">
        <v>1780</v>
      </c>
      <c r="H10" s="810"/>
      <c r="I10" s="810"/>
      <c r="J10" s="810"/>
      <c r="K10" s="810"/>
    </row>
    <row r="12" spans="1:11" ht="20.25">
      <c r="A12" s="100"/>
    </row>
    <row r="25" spans="1:12" s="98" customFormat="1" ht="15.75" customHeight="1">
      <c r="A25" s="819" t="s">
        <v>981</v>
      </c>
      <c r="B25" s="823" t="s">
        <v>181</v>
      </c>
      <c r="C25" s="821" t="s">
        <v>975</v>
      </c>
      <c r="D25" s="821" t="s">
        <v>974</v>
      </c>
      <c r="E25" s="821" t="s">
        <v>1030</v>
      </c>
      <c r="F25" s="821" t="s">
        <v>980</v>
      </c>
      <c r="G25" s="819" t="s">
        <v>196</v>
      </c>
      <c r="H25" s="820"/>
      <c r="I25" s="820"/>
      <c r="J25" s="820"/>
      <c r="K25" s="820"/>
      <c r="L25" s="820"/>
    </row>
    <row r="26" spans="1:12" s="98" customFormat="1" ht="15">
      <c r="A26" s="819"/>
      <c r="B26" s="824"/>
      <c r="C26" s="822"/>
      <c r="D26" s="822"/>
      <c r="E26" s="822"/>
      <c r="F26" s="822"/>
      <c r="G26" s="227" t="s">
        <v>197</v>
      </c>
      <c r="H26" s="226" t="s">
        <v>198</v>
      </c>
      <c r="I26" s="225" t="s">
        <v>200</v>
      </c>
      <c r="J26" s="224" t="s">
        <v>201</v>
      </c>
      <c r="K26" s="223" t="s">
        <v>202</v>
      </c>
      <c r="L26" s="223" t="s">
        <v>199</v>
      </c>
    </row>
    <row r="27" spans="1:12" s="99" customFormat="1" ht="28.5" customHeight="1">
      <c r="A27" s="31"/>
      <c r="B27" s="32"/>
      <c r="C27" s="31"/>
      <c r="D27" s="31"/>
      <c r="E27" s="31"/>
      <c r="F27" s="31"/>
      <c r="G27" s="31"/>
      <c r="H27" s="31"/>
      <c r="I27" s="31"/>
      <c r="J27" s="31"/>
      <c r="K27" s="31"/>
      <c r="L27" s="31"/>
    </row>
    <row r="28" spans="1:12" s="99" customFormat="1" ht="28.5" customHeight="1">
      <c r="A28" s="31"/>
      <c r="B28" s="32"/>
      <c r="C28" s="31"/>
      <c r="D28" s="31"/>
      <c r="E28" s="31"/>
      <c r="F28" s="31"/>
      <c r="G28" s="31"/>
      <c r="H28" s="31"/>
      <c r="I28" s="31"/>
      <c r="J28" s="31"/>
      <c r="K28" s="31"/>
      <c r="L28" s="31"/>
    </row>
    <row r="29" spans="1:12" s="99" customFormat="1" ht="28.5" customHeight="1">
      <c r="A29" s="31"/>
      <c r="B29" s="32"/>
      <c r="C29" s="31"/>
      <c r="D29" s="31"/>
      <c r="E29" s="31"/>
      <c r="F29" s="31"/>
      <c r="G29" s="31"/>
      <c r="H29" s="31"/>
      <c r="I29" s="31"/>
      <c r="J29" s="31"/>
      <c r="K29" s="31"/>
      <c r="L29" s="31"/>
    </row>
    <row r="30" spans="1:12" s="99" customFormat="1" ht="28.5" customHeight="1">
      <c r="A30" s="31"/>
      <c r="B30" s="32"/>
      <c r="C30" s="31"/>
      <c r="D30" s="31"/>
      <c r="E30" s="31"/>
      <c r="F30" s="31"/>
      <c r="G30" s="31"/>
      <c r="H30" s="31"/>
      <c r="I30" s="31"/>
      <c r="J30" s="31"/>
      <c r="K30" s="31"/>
      <c r="L30" s="31"/>
    </row>
    <row r="31" spans="1:12" s="99" customFormat="1" ht="28.5" customHeight="1">
      <c r="A31" s="31"/>
      <c r="B31" s="32"/>
      <c r="C31" s="31"/>
      <c r="D31" s="31"/>
      <c r="E31" s="31"/>
      <c r="F31" s="31"/>
      <c r="G31" s="31"/>
      <c r="H31" s="31"/>
      <c r="I31" s="31"/>
      <c r="J31" s="31"/>
      <c r="K31" s="31"/>
      <c r="L31" s="31"/>
    </row>
    <row r="32" spans="1:12" s="99" customFormat="1" ht="28.5" customHeight="1">
      <c r="A32" s="31"/>
      <c r="B32" s="32"/>
      <c r="C32" s="31"/>
      <c r="D32" s="31"/>
      <c r="E32" s="31"/>
      <c r="F32" s="31"/>
      <c r="G32" s="31"/>
      <c r="H32" s="31"/>
      <c r="I32" s="31"/>
      <c r="J32" s="31"/>
      <c r="K32" s="31"/>
      <c r="L32" s="31"/>
    </row>
    <row r="33" spans="1:12" s="99" customFormat="1" ht="28.5" customHeight="1">
      <c r="A33" s="31"/>
      <c r="B33" s="32"/>
      <c r="C33" s="31"/>
      <c r="D33" s="31"/>
      <c r="E33" s="31"/>
      <c r="F33" s="31"/>
      <c r="G33" s="31"/>
      <c r="H33" s="31"/>
      <c r="I33" s="31"/>
      <c r="J33" s="31"/>
      <c r="K33" s="31"/>
      <c r="L33" s="31"/>
    </row>
    <row r="34" spans="1:12" s="99" customFormat="1" ht="28.5" customHeight="1">
      <c r="A34" s="31"/>
      <c r="B34" s="32"/>
      <c r="C34" s="31"/>
      <c r="D34" s="31"/>
      <c r="E34" s="31"/>
      <c r="F34" s="31"/>
      <c r="G34" s="31"/>
      <c r="H34" s="31"/>
      <c r="I34" s="31"/>
      <c r="J34" s="31"/>
      <c r="K34" s="31"/>
      <c r="L34" s="31"/>
    </row>
    <row r="35" spans="1:12" s="99" customFormat="1" ht="28.5" customHeight="1">
      <c r="A35" s="31"/>
      <c r="B35" s="32"/>
      <c r="C35" s="31"/>
      <c r="D35" s="31"/>
      <c r="E35" s="31"/>
      <c r="F35" s="31"/>
      <c r="G35" s="31"/>
      <c r="H35" s="31"/>
      <c r="I35" s="31"/>
      <c r="J35" s="31"/>
      <c r="K35" s="31"/>
      <c r="L35" s="31"/>
    </row>
    <row r="36" spans="1:12" s="99" customFormat="1" ht="28.5" customHeight="1">
      <c r="A36" s="31"/>
      <c r="B36" s="32"/>
      <c r="C36" s="31"/>
      <c r="D36" s="31"/>
      <c r="E36" s="31"/>
      <c r="F36" s="31"/>
      <c r="G36" s="31"/>
      <c r="H36" s="31"/>
      <c r="I36" s="31"/>
      <c r="J36" s="31"/>
      <c r="K36" s="31"/>
      <c r="L36" s="31"/>
    </row>
    <row r="37" spans="1:12" s="99" customFormat="1" ht="28.5" customHeight="1">
      <c r="A37" s="31"/>
      <c r="B37" s="32"/>
      <c r="C37" s="31"/>
      <c r="D37" s="31"/>
      <c r="E37" s="31"/>
      <c r="F37" s="31"/>
      <c r="G37" s="31"/>
      <c r="H37" s="31"/>
      <c r="I37" s="31"/>
      <c r="J37" s="31"/>
      <c r="K37" s="31"/>
      <c r="L37" s="31"/>
    </row>
    <row r="38" spans="1:12" s="99" customFormat="1" ht="28.5" customHeight="1">
      <c r="A38" s="31"/>
      <c r="B38" s="32"/>
      <c r="C38" s="31"/>
      <c r="D38" s="31"/>
      <c r="E38" s="31"/>
      <c r="F38" s="31"/>
      <c r="G38" s="31"/>
      <c r="H38" s="31"/>
      <c r="I38" s="31"/>
      <c r="J38" s="31"/>
      <c r="K38" s="31"/>
      <c r="L38" s="31"/>
    </row>
    <row r="39" spans="1:12" s="99" customFormat="1" ht="28.5" customHeight="1">
      <c r="A39" s="31"/>
      <c r="B39" s="32"/>
      <c r="C39" s="31"/>
      <c r="D39" s="31"/>
      <c r="E39" s="31"/>
      <c r="F39" s="31"/>
      <c r="G39" s="31"/>
      <c r="H39" s="31"/>
      <c r="I39" s="31"/>
      <c r="J39" s="31"/>
      <c r="K39" s="31"/>
      <c r="L39" s="31"/>
    </row>
    <row r="40" spans="1:12" s="99" customFormat="1" ht="28.5" customHeight="1">
      <c r="A40" s="31"/>
      <c r="B40" s="32"/>
      <c r="C40" s="31"/>
      <c r="D40" s="31"/>
      <c r="E40" s="31"/>
      <c r="F40" s="31"/>
      <c r="G40" s="31"/>
      <c r="H40" s="31"/>
      <c r="I40" s="31"/>
      <c r="J40" s="31"/>
      <c r="K40" s="31"/>
      <c r="L40" s="31"/>
    </row>
    <row r="41" spans="1:12" s="99" customFormat="1" ht="28.5" customHeight="1">
      <c r="A41" s="31"/>
      <c r="B41" s="32"/>
      <c r="C41" s="31"/>
      <c r="D41" s="31"/>
      <c r="E41" s="31"/>
      <c r="F41" s="31"/>
      <c r="G41" s="31"/>
      <c r="H41" s="31"/>
      <c r="I41" s="31"/>
      <c r="J41" s="31"/>
      <c r="K41" s="31"/>
      <c r="L41" s="31"/>
    </row>
    <row r="42" spans="1:12" s="99" customFormat="1" ht="28.5" customHeight="1">
      <c r="A42" s="31"/>
      <c r="B42" s="32"/>
      <c r="C42" s="31"/>
      <c r="D42" s="31"/>
      <c r="E42" s="31"/>
      <c r="F42" s="31"/>
      <c r="G42" s="31"/>
      <c r="H42" s="31"/>
      <c r="I42" s="31"/>
      <c r="J42" s="31"/>
      <c r="K42" s="31"/>
      <c r="L42" s="31"/>
    </row>
    <row r="43" spans="1:12" s="99" customFormat="1" ht="28.5" customHeight="1">
      <c r="A43" s="31"/>
      <c r="B43" s="32"/>
      <c r="C43" s="31"/>
      <c r="D43" s="31"/>
      <c r="E43" s="31"/>
      <c r="F43" s="31"/>
      <c r="G43" s="31"/>
      <c r="H43" s="31"/>
      <c r="I43" s="31"/>
      <c r="J43" s="31"/>
      <c r="K43" s="31"/>
      <c r="L43" s="31"/>
    </row>
    <row r="44" spans="1:12" s="99" customFormat="1" ht="28.5" customHeight="1">
      <c r="A44" s="31"/>
      <c r="B44" s="32"/>
      <c r="C44" s="31"/>
      <c r="D44" s="31"/>
      <c r="E44" s="31"/>
      <c r="F44" s="31"/>
      <c r="G44" s="31"/>
      <c r="H44" s="31"/>
      <c r="I44" s="31"/>
      <c r="J44" s="31"/>
      <c r="K44" s="31"/>
      <c r="L44" s="31"/>
    </row>
    <row r="45" spans="1:12" s="99" customFormat="1" ht="28.5" customHeight="1">
      <c r="A45" s="31"/>
      <c r="B45" s="32"/>
      <c r="C45" s="31"/>
      <c r="D45" s="31"/>
      <c r="E45" s="31"/>
      <c r="F45" s="31"/>
      <c r="G45" s="31"/>
      <c r="H45" s="31"/>
      <c r="I45" s="31"/>
      <c r="J45" s="31"/>
      <c r="K45" s="31"/>
      <c r="L45" s="31"/>
    </row>
    <row r="46" spans="1:12" s="99" customFormat="1" ht="28.5" customHeight="1">
      <c r="A46" s="31"/>
      <c r="B46" s="32"/>
      <c r="C46" s="31"/>
      <c r="D46" s="31"/>
      <c r="E46" s="31"/>
      <c r="F46" s="31"/>
      <c r="G46" s="31"/>
      <c r="H46" s="31"/>
      <c r="I46" s="31"/>
      <c r="J46" s="31"/>
      <c r="K46" s="31"/>
      <c r="L46" s="31"/>
    </row>
    <row r="47" spans="1:12" s="99" customFormat="1" ht="28.5" customHeight="1">
      <c r="A47" s="31"/>
      <c r="B47" s="32"/>
      <c r="C47" s="31"/>
      <c r="D47" s="31"/>
      <c r="E47" s="31"/>
      <c r="F47" s="31"/>
      <c r="G47" s="31"/>
      <c r="H47" s="31"/>
      <c r="I47" s="31"/>
      <c r="J47" s="31"/>
      <c r="K47" s="31"/>
      <c r="L47" s="31"/>
    </row>
    <row r="48" spans="1:12" s="99" customFormat="1" ht="28.5" customHeight="1">
      <c r="A48" s="31"/>
      <c r="B48" s="32"/>
      <c r="C48" s="31"/>
      <c r="D48" s="31"/>
      <c r="E48" s="31"/>
      <c r="F48" s="31"/>
      <c r="G48" s="31"/>
      <c r="H48" s="31"/>
      <c r="I48" s="31"/>
      <c r="J48" s="31"/>
      <c r="K48" s="31"/>
      <c r="L48" s="31"/>
    </row>
    <row r="49" spans="1:12" s="99" customFormat="1" ht="28.5" customHeight="1">
      <c r="A49" s="31"/>
      <c r="B49" s="32"/>
      <c r="C49" s="31"/>
      <c r="D49" s="31"/>
      <c r="E49" s="31"/>
      <c r="F49" s="31"/>
      <c r="G49" s="31"/>
      <c r="H49" s="31"/>
      <c r="I49" s="31"/>
      <c r="J49" s="31"/>
      <c r="K49" s="31"/>
      <c r="L49" s="31"/>
    </row>
    <row r="50" spans="1:12" s="99" customFormat="1" ht="28.5" customHeight="1">
      <c r="A50" s="31"/>
      <c r="B50" s="32"/>
      <c r="C50" s="31"/>
      <c r="D50" s="31"/>
      <c r="E50" s="31"/>
      <c r="F50" s="31"/>
      <c r="G50" s="31"/>
      <c r="H50" s="31"/>
      <c r="I50" s="31"/>
      <c r="J50" s="31"/>
      <c r="K50" s="31"/>
      <c r="L50" s="31"/>
    </row>
    <row r="51" spans="1:12" s="99" customFormat="1" ht="28.5" customHeight="1">
      <c r="A51" s="31"/>
      <c r="B51" s="32"/>
      <c r="C51" s="31"/>
      <c r="D51" s="31"/>
      <c r="E51" s="31"/>
      <c r="F51" s="31"/>
      <c r="G51" s="31"/>
      <c r="H51" s="31"/>
      <c r="I51" s="31"/>
      <c r="J51" s="31"/>
      <c r="K51" s="31"/>
      <c r="L51" s="31"/>
    </row>
    <row r="52" spans="1:12" s="99" customFormat="1" ht="28.5" customHeight="1">
      <c r="A52" s="31"/>
      <c r="B52" s="32"/>
      <c r="C52" s="31"/>
      <c r="D52" s="31"/>
      <c r="E52" s="31"/>
      <c r="F52" s="31"/>
      <c r="G52" s="31"/>
      <c r="H52" s="31"/>
      <c r="I52" s="31"/>
      <c r="J52" s="31"/>
      <c r="K52" s="31"/>
      <c r="L52" s="31"/>
    </row>
    <row r="53" spans="1:12" s="99" customFormat="1" ht="28.5" customHeight="1">
      <c r="A53" s="31"/>
      <c r="B53" s="32"/>
      <c r="C53" s="31"/>
      <c r="D53" s="31"/>
      <c r="E53" s="31"/>
      <c r="F53" s="31"/>
      <c r="G53" s="31"/>
      <c r="H53" s="31"/>
      <c r="I53" s="31"/>
      <c r="J53" s="31"/>
      <c r="K53" s="31"/>
      <c r="L53" s="31"/>
    </row>
    <row r="54" spans="1:12" s="99" customFormat="1" ht="28.5" customHeight="1">
      <c r="A54" s="31"/>
      <c r="B54" s="32"/>
      <c r="C54" s="31"/>
      <c r="D54" s="31"/>
      <c r="E54" s="31"/>
      <c r="F54" s="31"/>
      <c r="G54" s="31"/>
      <c r="H54" s="31"/>
      <c r="I54" s="31"/>
      <c r="J54" s="31"/>
      <c r="K54" s="31"/>
      <c r="L54" s="31"/>
    </row>
    <row r="55" spans="1:12" s="99" customFormat="1" ht="28.5" customHeight="1">
      <c r="A55" s="31"/>
      <c r="B55" s="32"/>
      <c r="C55" s="31"/>
      <c r="D55" s="31"/>
      <c r="E55" s="31"/>
      <c r="F55" s="31"/>
      <c r="G55" s="31"/>
      <c r="H55" s="31"/>
      <c r="I55" s="31"/>
      <c r="J55" s="31"/>
      <c r="K55" s="31"/>
      <c r="L55" s="31"/>
    </row>
    <row r="56" spans="1:12" s="99" customFormat="1" ht="28.5" customHeight="1">
      <c r="A56" s="31"/>
      <c r="B56" s="32"/>
      <c r="C56" s="31"/>
      <c r="D56" s="31"/>
      <c r="E56" s="31"/>
      <c r="F56" s="31"/>
      <c r="G56" s="31"/>
      <c r="H56" s="31"/>
      <c r="I56" s="31"/>
      <c r="J56" s="31"/>
      <c r="K56" s="31"/>
      <c r="L56" s="31"/>
    </row>
    <row r="57" spans="1:12" s="99" customFormat="1" ht="28.5" customHeight="1">
      <c r="A57" s="31"/>
      <c r="B57" s="32"/>
      <c r="C57" s="31"/>
      <c r="D57" s="31"/>
      <c r="E57" s="31"/>
      <c r="F57" s="31"/>
      <c r="G57" s="31"/>
      <c r="H57" s="31"/>
      <c r="I57" s="31"/>
      <c r="J57" s="31"/>
      <c r="K57" s="31"/>
      <c r="L57" s="31"/>
    </row>
    <row r="58" spans="1:12">
      <c r="B58" s="34"/>
    </row>
  </sheetData>
  <sheetProtection algorithmName="SHA-512" hashValue="pka5Cqlj0OHoUVtPB0DcHMx+ruey4YzSNu7EPu10/+lVr8LnPka+63IMUy/eH6y/p722IoeQD/2jrnLR99FNWw==" saltValue="tI1mZXtf8oouhuAjcu15HQ==" spinCount="100000" sheet="1" objects="1" scenarios="1"/>
  <mergeCells count="24">
    <mergeCell ref="A1:D3"/>
    <mergeCell ref="E2:K2"/>
    <mergeCell ref="D4:G4"/>
    <mergeCell ref="B9:C9"/>
    <mergeCell ref="B10:C10"/>
    <mergeCell ref="A5:C8"/>
    <mergeCell ref="D5:G5"/>
    <mergeCell ref="D6:G6"/>
    <mergeCell ref="D7:G7"/>
    <mergeCell ref="H4:K4"/>
    <mergeCell ref="H5:K5"/>
    <mergeCell ref="H6:K6"/>
    <mergeCell ref="H7:K7"/>
    <mergeCell ref="D9:F9"/>
    <mergeCell ref="D10:F10"/>
    <mergeCell ref="G9:K9"/>
    <mergeCell ref="G10:K10"/>
    <mergeCell ref="G25:L25"/>
    <mergeCell ref="F25:F26"/>
    <mergeCell ref="A25:A26"/>
    <mergeCell ref="B25:B26"/>
    <mergeCell ref="C25:C26"/>
    <mergeCell ref="D25:D26"/>
    <mergeCell ref="E25:E26"/>
  </mergeCells>
  <dataValidations count="6">
    <dataValidation type="list" allowBlank="1" showInputMessage="1" showErrorMessage="1" errorTitle="Invalid Entry" error="Invalid Entry" sqref="D27:D57" xr:uid="{00000000-0002-0000-0C00-000000000000}">
      <formula1>ACTNAM</formula1>
    </dataValidation>
    <dataValidation type="list" allowBlank="1" showInputMessage="1" showErrorMessage="1" errorTitle="Invalid Entry" error="Invalid Entry" sqref="C27:C57" xr:uid="{00000000-0002-0000-0C00-000001000000}">
      <formula1>FaceRecess</formula1>
    </dataValidation>
    <dataValidation type="list" allowBlank="1" showInputMessage="1" showErrorMessage="1" errorTitle="Invalid Entry" error="Invalid Entry" sqref="B27:B57" xr:uid="{00000000-0002-0000-0C00-000002000000}">
      <formula1>BlindType</formula1>
    </dataValidation>
    <dataValidation type="list" allowBlank="1" showInputMessage="1" showErrorMessage="1" errorTitle="Invalid Entry" error="Invalid Entry" sqref="E27:E57" xr:uid="{00000000-0002-0000-0C00-000003000000}">
      <formula1>INDIRECT(C27)</formula1>
    </dataValidation>
    <dataValidation type="list" allowBlank="1" showInputMessage="1" showErrorMessage="1" errorTitle="Invalid Entry" error="Invalid Entry" sqref="G9:K10" xr:uid="{9E28D191-FE43-4686-A956-E417B170B40C}">
      <formula1>CMBEmail</formula1>
    </dataValidation>
    <dataValidation type="list" allowBlank="1" showInputMessage="1" showErrorMessage="1" errorTitle="Invalid Entry" error="Invalid Entry" sqref="B9:C9" xr:uid="{5B516DCC-BE69-4668-9680-9F4D0AC3B40B}">
      <formula1>CMBPhone2</formula1>
    </dataValidation>
  </dataValidations>
  <printOptions horizontalCentered="1"/>
  <pageMargins left="0.19685039370078741" right="0.19685039370078741" top="0.23622047244094491" bottom="0.23622047244094491" header="0.19685039370078741" footer="0.19685039370078741"/>
  <pageSetup paperSize="9" scale="6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26"/>
  <sheetViews>
    <sheetView tabSelected="1" workbookViewId="0">
      <selection activeCell="D3" sqref="D3:K3"/>
    </sheetView>
  </sheetViews>
  <sheetFormatPr defaultRowHeight="12.75"/>
  <cols>
    <col min="1" max="2" width="9.140625" style="364"/>
    <col min="3" max="3" width="32.140625" style="364" customWidth="1"/>
    <col min="4" max="4" width="16.42578125" style="364" customWidth="1"/>
    <col min="5" max="5" width="12.85546875" style="364" customWidth="1"/>
    <col min="6" max="6" width="6.85546875" style="364" customWidth="1"/>
    <col min="7" max="7" width="10.28515625" style="364" customWidth="1"/>
    <col min="8" max="8" width="10" style="364" customWidth="1"/>
    <col min="9" max="9" width="13" style="364" customWidth="1"/>
    <col min="10" max="10" width="10.140625" style="364" bestFit="1" customWidth="1"/>
    <col min="11" max="11" width="24.85546875" style="364" customWidth="1"/>
    <col min="12" max="16384" width="9.140625" style="364"/>
  </cols>
  <sheetData>
    <row r="1" spans="1:15" ht="69.75" customHeight="1">
      <c r="A1" s="504"/>
      <c r="B1" s="504"/>
      <c r="C1" s="504"/>
      <c r="D1" s="504"/>
      <c r="E1" s="504"/>
      <c r="F1" s="504"/>
      <c r="G1" s="504"/>
      <c r="H1" s="504"/>
      <c r="I1" s="504"/>
      <c r="J1" s="504"/>
      <c r="K1" s="504"/>
    </row>
    <row r="2" spans="1:15" ht="48" customHeight="1">
      <c r="A2" s="505" t="s">
        <v>1793</v>
      </c>
      <c r="B2" s="506"/>
      <c r="C2" s="506"/>
      <c r="D2" s="506"/>
      <c r="E2" s="506"/>
      <c r="F2" s="506"/>
      <c r="G2" s="506"/>
      <c r="H2" s="506"/>
      <c r="I2" s="506"/>
      <c r="J2" s="506"/>
      <c r="K2" s="507"/>
    </row>
    <row r="3" spans="1:15" ht="22.5" customHeight="1">
      <c r="A3" s="508" t="s">
        <v>0</v>
      </c>
      <c r="B3" s="509"/>
      <c r="C3" s="510"/>
      <c r="D3" s="511"/>
      <c r="E3" s="511"/>
      <c r="F3" s="511"/>
      <c r="G3" s="511"/>
      <c r="H3" s="511"/>
      <c r="I3" s="511"/>
      <c r="J3" s="511"/>
      <c r="K3" s="511"/>
    </row>
    <row r="4" spans="1:15" ht="22.5" customHeight="1">
      <c r="A4" s="512" t="s">
        <v>143</v>
      </c>
      <c r="B4" s="512"/>
      <c r="C4" s="512"/>
      <c r="D4" s="514"/>
      <c r="E4" s="515"/>
      <c r="F4" s="515"/>
      <c r="G4" s="515"/>
      <c r="H4" s="515"/>
      <c r="I4" s="515"/>
      <c r="J4" s="515"/>
      <c r="K4" s="515"/>
      <c r="O4" s="365"/>
    </row>
    <row r="5" spans="1:15" ht="22.5" customHeight="1">
      <c r="A5" s="513"/>
      <c r="B5" s="513"/>
      <c r="C5" s="513"/>
      <c r="D5" s="515"/>
      <c r="E5" s="515"/>
      <c r="F5" s="515"/>
      <c r="G5" s="515"/>
      <c r="H5" s="515"/>
      <c r="I5" s="515"/>
      <c r="J5" s="515"/>
      <c r="K5" s="515"/>
    </row>
    <row r="6" spans="1:15" ht="22.5" customHeight="1">
      <c r="A6" s="512" t="s">
        <v>229</v>
      </c>
      <c r="B6" s="512"/>
      <c r="C6" s="512"/>
      <c r="D6" s="516"/>
      <c r="E6" s="516"/>
      <c r="F6" s="516"/>
      <c r="G6" s="516"/>
      <c r="H6" s="516"/>
      <c r="I6" s="516"/>
      <c r="J6" s="516"/>
      <c r="K6" s="516"/>
    </row>
    <row r="7" spans="1:15" ht="22.5" customHeight="1">
      <c r="A7" s="512" t="s">
        <v>1032</v>
      </c>
      <c r="B7" s="512"/>
      <c r="C7" s="512"/>
      <c r="D7" s="520"/>
      <c r="E7" s="520"/>
      <c r="F7" s="520"/>
      <c r="G7" s="520"/>
      <c r="H7" s="520"/>
      <c r="I7" s="520"/>
      <c r="J7" s="520"/>
      <c r="K7" s="520"/>
    </row>
    <row r="8" spans="1:15" ht="22.5" customHeight="1">
      <c r="A8" s="512" t="s">
        <v>144</v>
      </c>
      <c r="B8" s="512"/>
      <c r="C8" s="512"/>
      <c r="D8" s="500"/>
      <c r="E8" s="500"/>
      <c r="F8" s="500"/>
      <c r="G8" s="500"/>
      <c r="H8" s="500"/>
      <c r="I8" s="500"/>
      <c r="J8" s="500"/>
      <c r="K8" s="500"/>
    </row>
    <row r="9" spans="1:15" ht="22.5" customHeight="1">
      <c r="A9" s="512" t="s">
        <v>170</v>
      </c>
      <c r="B9" s="512"/>
      <c r="C9" s="512"/>
      <c r="D9" s="501" t="s">
        <v>416</v>
      </c>
      <c r="E9" s="502"/>
      <c r="F9" s="502"/>
      <c r="G9" s="502"/>
      <c r="H9" s="502"/>
      <c r="I9" s="502"/>
      <c r="J9" s="502"/>
      <c r="K9" s="503"/>
    </row>
    <row r="10" spans="1:15" s="367" customFormat="1" ht="22.5" customHeight="1">
      <c r="A10" s="512"/>
      <c r="B10" s="512"/>
      <c r="C10" s="512"/>
      <c r="D10" s="519" t="s">
        <v>1795</v>
      </c>
      <c r="E10" s="519"/>
      <c r="F10" s="519"/>
      <c r="G10" s="517" t="s">
        <v>997</v>
      </c>
      <c r="H10" s="518"/>
      <c r="I10" s="518"/>
      <c r="J10" s="518"/>
      <c r="K10" s="366" t="s">
        <v>1788</v>
      </c>
    </row>
    <row r="11" spans="1:15" ht="23.25">
      <c r="A11" s="508" t="s">
        <v>171</v>
      </c>
      <c r="B11" s="509"/>
      <c r="C11" s="510"/>
      <c r="D11" s="521"/>
      <c r="E11" s="522"/>
      <c r="F11" s="522"/>
      <c r="G11" s="522"/>
      <c r="H11" s="522"/>
      <c r="I11" s="522"/>
      <c r="J11" s="522"/>
      <c r="K11" s="523"/>
    </row>
    <row r="13" spans="1:15">
      <c r="A13" s="524" t="s">
        <v>172</v>
      </c>
      <c r="B13" s="524"/>
      <c r="C13" s="524"/>
      <c r="D13" s="524"/>
      <c r="E13" s="524"/>
      <c r="F13" s="524"/>
      <c r="G13" s="524"/>
      <c r="H13" s="524"/>
      <c r="I13" s="524"/>
      <c r="J13" s="524"/>
      <c r="K13" s="524"/>
    </row>
    <row r="14" spans="1:15">
      <c r="A14" s="499" t="s">
        <v>173</v>
      </c>
      <c r="B14" s="499"/>
      <c r="C14" s="499"/>
      <c r="D14" s="368" t="s">
        <v>178</v>
      </c>
      <c r="E14" s="368" t="s">
        <v>174</v>
      </c>
      <c r="G14" s="499" t="s">
        <v>173</v>
      </c>
      <c r="H14" s="499"/>
      <c r="I14" s="499"/>
      <c r="J14" s="368" t="s">
        <v>207</v>
      </c>
      <c r="K14" s="368" t="s">
        <v>174</v>
      </c>
    </row>
    <row r="15" spans="1:15" ht="18" hidden="1">
      <c r="A15" s="490" t="s">
        <v>1082</v>
      </c>
      <c r="B15" s="490"/>
      <c r="C15" s="490"/>
      <c r="D15" s="369">
        <f>SUM('25mm Aluminium Blinds'!C8:C57)</f>
        <v>0</v>
      </c>
      <c r="E15" s="370" t="s">
        <v>180</v>
      </c>
    </row>
    <row r="16" spans="1:15" ht="18">
      <c r="A16" s="490" t="s">
        <v>1078</v>
      </c>
      <c r="B16" s="490"/>
      <c r="C16" s="490"/>
      <c r="D16" s="369">
        <f>SUM('50mm &amp; 63mm Venetian Blinds'!C8:C57)</f>
        <v>0</v>
      </c>
      <c r="E16" s="371" t="s">
        <v>176</v>
      </c>
      <c r="G16" s="490" t="s">
        <v>380</v>
      </c>
      <c r="H16" s="490"/>
      <c r="I16" s="490"/>
      <c r="J16" s="372" t="str">
        <f>IF(COUNTA('CMB Corner WS'!A27:J57)&gt;0,"YES","")</f>
        <v/>
      </c>
      <c r="K16" s="373" t="s">
        <v>378</v>
      </c>
    </row>
    <row r="17" spans="1:11" ht="18" hidden="1">
      <c r="A17" s="490" t="s">
        <v>175</v>
      </c>
      <c r="B17" s="490"/>
      <c r="C17" s="490"/>
      <c r="D17" s="372">
        <f>SUM('Roller Blinds'!C8:C57)</f>
        <v>0</v>
      </c>
      <c r="E17" s="374" t="s">
        <v>179</v>
      </c>
      <c r="G17" s="375"/>
      <c r="H17" s="375"/>
      <c r="I17" s="375"/>
      <c r="J17" s="376"/>
      <c r="K17" s="377"/>
    </row>
    <row r="18" spans="1:11" ht="18" hidden="1">
      <c r="A18" s="490" t="s">
        <v>187</v>
      </c>
      <c r="B18" s="490"/>
      <c r="C18" s="490"/>
      <c r="D18" s="372">
        <f>SUM('Vertical Blinds'!C7:C26)</f>
        <v>0</v>
      </c>
      <c r="E18" s="378" t="s">
        <v>188</v>
      </c>
    </row>
    <row r="19" spans="1:11" ht="18">
      <c r="A19" s="490" t="s">
        <v>1172</v>
      </c>
      <c r="B19" s="490"/>
      <c r="C19" s="490"/>
      <c r="D19" s="372">
        <f>SUM('Cellular Blinds'!C8:C57)</f>
        <v>0</v>
      </c>
      <c r="E19" s="379" t="s">
        <v>1394</v>
      </c>
      <c r="G19" s="490" t="s">
        <v>381</v>
      </c>
      <c r="H19" s="490"/>
      <c r="I19" s="490"/>
      <c r="J19" s="372" t="str">
        <f>IF(COUNTA('CMB Bay WS'!A27:L57)&gt;0,"YES","")</f>
        <v/>
      </c>
      <c r="K19" s="380" t="s">
        <v>379</v>
      </c>
    </row>
    <row r="20" spans="1:11" ht="18">
      <c r="A20" s="490" t="s">
        <v>2303</v>
      </c>
      <c r="B20" s="490"/>
      <c r="C20" s="490"/>
      <c r="D20" s="372">
        <f>SUM('Transition Blinds &amp; Roma Shades'!C8:C57)</f>
        <v>0</v>
      </c>
      <c r="E20" s="381" t="s">
        <v>1766</v>
      </c>
      <c r="G20" s="491"/>
      <c r="H20" s="491"/>
      <c r="I20" s="491"/>
      <c r="J20" s="491"/>
      <c r="K20" s="491"/>
    </row>
    <row r="21" spans="1:11">
      <c r="G21" s="492" t="s">
        <v>1796</v>
      </c>
      <c r="H21" s="493"/>
      <c r="I21" s="493"/>
      <c r="J21" s="493"/>
      <c r="K21" s="494"/>
    </row>
    <row r="22" spans="1:11" ht="18">
      <c r="G22" s="498"/>
      <c r="H22" s="498"/>
      <c r="I22" s="498"/>
      <c r="J22" s="498"/>
      <c r="K22" s="498"/>
    </row>
    <row r="24" spans="1:11">
      <c r="G24" s="495" t="s">
        <v>1036</v>
      </c>
      <c r="H24" s="496"/>
      <c r="I24" s="496"/>
      <c r="J24" s="497"/>
      <c r="K24" s="382">
        <v>61</v>
      </c>
    </row>
    <row r="26" spans="1:11" ht="39" customHeight="1">
      <c r="A26" s="488" t="s">
        <v>1089</v>
      </c>
      <c r="B26" s="489"/>
      <c r="C26" s="489"/>
      <c r="D26" s="489"/>
      <c r="E26" s="489"/>
      <c r="F26" s="489"/>
      <c r="G26" s="489"/>
      <c r="H26" s="489"/>
      <c r="I26" s="489"/>
      <c r="J26" s="489"/>
      <c r="K26" s="489"/>
    </row>
  </sheetData>
  <sheetProtection algorithmName="SHA-512" hashValue="iCV15CZwlt39MrL+S8zbeMFJvn4N0lgg25MPMGwS94g/fCLI0V+7Z3cujLSTJJPnuVGPLGI1A7w2KooA9PVX3A==" saltValue="bctpM9PzsD5p1ErQVg7E0Q==" spinCount="100000" sheet="1"/>
  <protectedRanges>
    <protectedRange sqref="D4" name="Range8"/>
    <protectedRange sqref="J17" name="Range6"/>
    <protectedRange sqref="D11 D3 D5:D7" name="Range5"/>
    <protectedRange sqref="D9" name="Range1"/>
    <protectedRange sqref="D8" name="Range4"/>
    <protectedRange sqref="J22" name="Range6_1"/>
    <protectedRange sqref="J22" name="Range7"/>
    <protectedRange sqref="J19 J16" name="Range6_1_1"/>
    <protectedRange sqref="J19 J16" name="Range7_1"/>
  </protectedRanges>
  <mergeCells count="34">
    <mergeCell ref="A8:C8"/>
    <mergeCell ref="A11:C11"/>
    <mergeCell ref="D11:K11"/>
    <mergeCell ref="A13:K13"/>
    <mergeCell ref="A7:C7"/>
    <mergeCell ref="A14:C14"/>
    <mergeCell ref="G14:I14"/>
    <mergeCell ref="D8:K8"/>
    <mergeCell ref="D9:K9"/>
    <mergeCell ref="A1:K1"/>
    <mergeCell ref="A2:K2"/>
    <mergeCell ref="A3:C3"/>
    <mergeCell ref="D3:K3"/>
    <mergeCell ref="A4:C5"/>
    <mergeCell ref="D4:K5"/>
    <mergeCell ref="A6:C6"/>
    <mergeCell ref="A9:C10"/>
    <mergeCell ref="D6:K6"/>
    <mergeCell ref="G10:J10"/>
    <mergeCell ref="D10:F10"/>
    <mergeCell ref="D7:K7"/>
    <mergeCell ref="A26:K26"/>
    <mergeCell ref="A16:C16"/>
    <mergeCell ref="G20:K20"/>
    <mergeCell ref="G21:K21"/>
    <mergeCell ref="A15:C15"/>
    <mergeCell ref="G24:J24"/>
    <mergeCell ref="A20:C20"/>
    <mergeCell ref="G22:K22"/>
    <mergeCell ref="G19:I19"/>
    <mergeCell ref="A18:C18"/>
    <mergeCell ref="A17:C17"/>
    <mergeCell ref="G16:I16"/>
    <mergeCell ref="A19:C19"/>
  </mergeCells>
  <conditionalFormatting sqref="J16 J19">
    <cfRule type="containsText" dxfId="104" priority="2" stopIfTrue="1" operator="containsText" text="YES">
      <formula>NOT(ISERROR(SEARCH("YES",J16)))</formula>
    </cfRule>
  </conditionalFormatting>
  <dataValidations count="6">
    <dataValidation type="list" allowBlank="1" showInputMessage="1" showErrorMessage="1" errorTitle="Invalid Entry" error="Invalid Entry" sqref="G22:K22" xr:uid="{00000000-0002-0000-0100-000000000000}">
      <formula1>Pacific_Sales_Coordinator</formula1>
    </dataValidation>
    <dataValidation type="list" errorStyle="information" allowBlank="1" showErrorMessage="1" errorTitle="Alert" error="Warning - Non Default Delivery Address" sqref="D4:K5" xr:uid="{00000000-0002-0000-0100-000001000000}">
      <formula1>Delivery_Address</formula1>
    </dataValidation>
    <dataValidation type="list" errorStyle="information" allowBlank="1" showErrorMessage="1" errorTitle="Alert" error="Warning - Non Default Store Name" sqref="D3:K3" xr:uid="{00000000-0002-0000-0100-000002000000}">
      <formula1>Store_Name</formula1>
    </dataValidation>
    <dataValidation type="list" allowBlank="1" showInputMessage="1" showErrorMessage="1" errorTitle="Invalid Entry" error="Invalid Entry" sqref="K10" xr:uid="{00000000-0002-0000-0100-000003000000}">
      <formula1>CMBPhone</formula1>
    </dataValidation>
    <dataValidation type="list" allowBlank="1" showInputMessage="1" showErrorMessage="1" errorTitle="Invalid Entry" error="Invalid Entry" sqref="G10:J10" xr:uid="{00000000-0002-0000-0100-000005000000}">
      <formula1>CMBEmail</formula1>
    </dataValidation>
    <dataValidation allowBlank="1" showInputMessage="1" sqref="J16 J19" xr:uid="{00000000-0002-0000-0100-000007000000}"/>
  </dataValidations>
  <printOptions horizontalCentered="1"/>
  <pageMargins left="0.55118110236220474" right="0.43307086614173229" top="0.23622047244094491" bottom="0.23622047244094491" header="0.15748031496062992" footer="0.15748031496062992"/>
  <pageSetup paperSize="9" scale="9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pageSetUpPr fitToPage="1"/>
  </sheetPr>
  <dimension ref="A1:AC58"/>
  <sheetViews>
    <sheetView view="pageBreakPreview" zoomScale="85" zoomScaleSheetLayoutView="85" workbookViewId="0">
      <selection activeCell="B8" sqref="B8"/>
    </sheetView>
  </sheetViews>
  <sheetFormatPr defaultRowHeight="15"/>
  <cols>
    <col min="1" max="1" width="7.42578125" style="54" customWidth="1"/>
    <col min="2" max="2" width="13" style="54" customWidth="1"/>
    <col min="3" max="3" width="6.28515625" style="54" customWidth="1"/>
    <col min="4" max="4" width="18.5703125" style="54" customWidth="1"/>
    <col min="5" max="5" width="27.140625" style="54" customWidth="1"/>
    <col min="6" max="6" width="13" style="54" customWidth="1"/>
    <col min="7" max="7" width="12.42578125" style="54" customWidth="1"/>
    <col min="8" max="8" width="16.28515625" style="54" customWidth="1"/>
    <col min="9" max="9" width="14.7109375" style="54" customWidth="1"/>
    <col min="10" max="10" width="10.42578125" style="54" customWidth="1"/>
    <col min="11" max="11" width="4.28515625" style="54" customWidth="1"/>
    <col min="12" max="12" width="13.5703125" style="54" customWidth="1"/>
    <col min="13" max="13" width="14.42578125" style="54" customWidth="1"/>
    <col min="14" max="14" width="14" style="54" customWidth="1"/>
    <col min="15" max="15" width="7.140625" style="54" customWidth="1"/>
    <col min="16" max="16" width="6.140625" style="54" customWidth="1"/>
    <col min="17" max="17" width="15.28515625" style="54" customWidth="1"/>
    <col min="18" max="18" width="15.140625" style="54" customWidth="1"/>
    <col min="19" max="20" width="14.7109375" style="54" customWidth="1"/>
    <col min="21" max="21" width="40.42578125" style="54" customWidth="1"/>
    <col min="22" max="22" width="15" style="54" customWidth="1"/>
    <col min="23" max="23" width="43.42578125" style="54" customWidth="1"/>
    <col min="24" max="25" width="9.140625" style="33"/>
    <col min="26" max="27" width="9.140625" style="33" hidden="1" customWidth="1"/>
    <col min="28" max="28" width="40.42578125" style="33" hidden="1" customWidth="1"/>
    <col min="29" max="29" width="42.28515625" style="33" hidden="1" customWidth="1"/>
    <col min="30" max="39" width="0" style="33" hidden="1" customWidth="1"/>
    <col min="40" max="16384" width="9.140625" style="33"/>
  </cols>
  <sheetData>
    <row r="1" spans="1:29" ht="26.25">
      <c r="A1" s="554"/>
      <c r="B1" s="555"/>
      <c r="C1" s="555"/>
      <c r="D1" s="555"/>
      <c r="E1" s="555"/>
      <c r="F1" s="555"/>
      <c r="G1" s="555"/>
      <c r="H1" s="555"/>
      <c r="I1" s="556"/>
      <c r="J1" s="58"/>
      <c r="K1" s="58"/>
      <c r="L1" s="538" t="s">
        <v>0</v>
      </c>
      <c r="M1" s="538"/>
      <c r="N1" s="557">
        <f>Summary!D3</f>
        <v>0</v>
      </c>
      <c r="O1" s="558"/>
      <c r="P1" s="558"/>
      <c r="Q1" s="558"/>
      <c r="R1" s="558"/>
      <c r="S1" s="558"/>
      <c r="T1" s="558"/>
      <c r="U1" s="59"/>
      <c r="V1" s="552"/>
      <c r="W1" s="517"/>
    </row>
    <row r="2" spans="1:29" ht="19.5">
      <c r="A2" s="28"/>
      <c r="B2" s="29"/>
      <c r="C2" s="29"/>
      <c r="D2" s="29"/>
      <c r="E2" s="29"/>
      <c r="F2" s="559" t="s">
        <v>184</v>
      </c>
      <c r="G2" s="559"/>
      <c r="H2" s="559"/>
      <c r="I2" s="560"/>
      <c r="J2" s="60"/>
      <c r="K2" s="60"/>
      <c r="L2" s="538" t="s">
        <v>141</v>
      </c>
      <c r="M2" s="538"/>
      <c r="N2" s="561">
        <f>Summary!D6</f>
        <v>0</v>
      </c>
      <c r="O2" s="562"/>
      <c r="P2" s="562"/>
      <c r="Q2" s="562"/>
      <c r="R2" s="562"/>
      <c r="S2" s="562"/>
      <c r="T2" s="562"/>
      <c r="U2" s="61"/>
      <c r="V2" s="552"/>
      <c r="W2" s="517"/>
    </row>
    <row r="3" spans="1:29" ht="17.25" customHeight="1">
      <c r="A3" s="7"/>
      <c r="B3" s="8"/>
      <c r="C3" s="8"/>
      <c r="D3" s="8"/>
      <c r="E3" s="8"/>
      <c r="F3" s="547"/>
      <c r="G3" s="547"/>
      <c r="H3" s="547"/>
      <c r="I3" s="548"/>
      <c r="J3" s="58"/>
      <c r="K3" s="58"/>
      <c r="L3" s="538" t="s">
        <v>143</v>
      </c>
      <c r="M3" s="538"/>
      <c r="N3" s="549">
        <f>Summary!D4</f>
        <v>0</v>
      </c>
      <c r="O3" s="550"/>
      <c r="P3" s="550"/>
      <c r="Q3" s="550"/>
      <c r="R3" s="550"/>
      <c r="S3" s="550"/>
      <c r="T3" s="551"/>
      <c r="U3" s="61"/>
      <c r="V3" s="62"/>
      <c r="W3" s="63"/>
    </row>
    <row r="4" spans="1:29" ht="17.25" customHeight="1">
      <c r="A4" s="563" t="s">
        <v>453</v>
      </c>
      <c r="B4" s="563"/>
      <c r="C4" s="563"/>
      <c r="D4" s="564"/>
      <c r="E4" s="565"/>
      <c r="F4" s="563" t="s">
        <v>452</v>
      </c>
      <c r="G4" s="563"/>
      <c r="H4" s="566"/>
      <c r="I4" s="567"/>
      <c r="J4" s="60"/>
      <c r="K4" s="60"/>
      <c r="L4" s="538" t="s">
        <v>978</v>
      </c>
      <c r="M4" s="538"/>
      <c r="N4" s="568">
        <f>Summary!D7</f>
        <v>0</v>
      </c>
      <c r="O4" s="569"/>
      <c r="P4" s="569"/>
      <c r="Q4" s="569"/>
      <c r="R4" s="569"/>
      <c r="S4" s="569"/>
      <c r="T4" s="570"/>
      <c r="U4" s="61"/>
      <c r="V4" s="552"/>
      <c r="W4" s="553"/>
    </row>
    <row r="5" spans="1:29" ht="17.25" customHeight="1">
      <c r="A5" s="96" t="s">
        <v>415</v>
      </c>
      <c r="B5" s="97"/>
      <c r="C5" s="97"/>
      <c r="D5" s="535" t="s">
        <v>210</v>
      </c>
      <c r="E5" s="536"/>
      <c r="F5" s="536"/>
      <c r="G5" s="536"/>
      <c r="H5" s="536"/>
      <c r="I5" s="537"/>
      <c r="J5" s="60"/>
      <c r="K5" s="60"/>
      <c r="L5" s="538" t="s">
        <v>144</v>
      </c>
      <c r="M5" s="538"/>
      <c r="N5" s="539">
        <f>Summary!D8</f>
        <v>0</v>
      </c>
      <c r="O5" s="540"/>
      <c r="P5" s="540"/>
      <c r="Q5" s="540"/>
      <c r="R5" s="540"/>
      <c r="S5" s="540"/>
      <c r="T5" s="540"/>
      <c r="U5" s="64"/>
      <c r="V5" s="552"/>
      <c r="W5" s="553"/>
    </row>
    <row r="6" spans="1:29" ht="15.75" thickBot="1">
      <c r="F6" s="59"/>
      <c r="L6" s="545" t="s">
        <v>654</v>
      </c>
      <c r="M6" s="545"/>
      <c r="N6" s="546" t="str">
        <f>AB18</f>
        <v/>
      </c>
      <c r="O6" s="546"/>
      <c r="P6" s="546"/>
      <c r="Q6" s="546"/>
      <c r="R6" s="546"/>
      <c r="S6" s="546"/>
      <c r="T6" s="546"/>
      <c r="W6" s="65"/>
    </row>
    <row r="7" spans="1:29" ht="45" customHeight="1" thickTop="1" thickBot="1">
      <c r="A7" s="66" t="s">
        <v>146</v>
      </c>
      <c r="B7" s="67" t="s">
        <v>147</v>
      </c>
      <c r="C7" s="67" t="s">
        <v>164</v>
      </c>
      <c r="D7" s="67" t="s">
        <v>181</v>
      </c>
      <c r="E7" s="67" t="s">
        <v>152</v>
      </c>
      <c r="F7" s="67" t="s">
        <v>148</v>
      </c>
      <c r="G7" s="68" t="s">
        <v>149</v>
      </c>
      <c r="H7" s="69" t="s">
        <v>14</v>
      </c>
      <c r="I7" s="69" t="s">
        <v>165</v>
      </c>
      <c r="J7" s="541" t="s">
        <v>13</v>
      </c>
      <c r="K7" s="542"/>
      <c r="L7" s="68" t="s">
        <v>10</v>
      </c>
      <c r="M7" s="67" t="s">
        <v>12</v>
      </c>
      <c r="N7" s="67" t="s">
        <v>183</v>
      </c>
      <c r="O7" s="543" t="s">
        <v>15</v>
      </c>
      <c r="P7" s="544"/>
      <c r="Q7" s="67" t="s">
        <v>4</v>
      </c>
      <c r="R7" s="67" t="s">
        <v>5</v>
      </c>
      <c r="S7" s="67" t="s">
        <v>6</v>
      </c>
      <c r="T7" s="67" t="s">
        <v>7</v>
      </c>
      <c r="U7" s="70" t="s">
        <v>203</v>
      </c>
      <c r="V7" s="228"/>
      <c r="W7" s="228"/>
    </row>
    <row r="8" spans="1:29" ht="30" customHeight="1" thickTop="1">
      <c r="A8" s="50">
        <v>1</v>
      </c>
      <c r="B8" s="95"/>
      <c r="C8" s="23"/>
      <c r="D8" s="25"/>
      <c r="E8" s="71"/>
      <c r="F8" s="41"/>
      <c r="G8" s="42"/>
      <c r="H8" s="24"/>
      <c r="I8" s="24"/>
      <c r="J8" s="531"/>
      <c r="K8" s="532"/>
      <c r="L8" s="11"/>
      <c r="M8" s="11"/>
      <c r="N8" s="11"/>
      <c r="O8" s="533"/>
      <c r="P8" s="534"/>
      <c r="Q8" s="25"/>
      <c r="R8" s="25"/>
      <c r="S8" s="25"/>
      <c r="T8" s="25"/>
      <c r="U8" s="177"/>
      <c r="V8" s="229"/>
      <c r="W8" s="230"/>
      <c r="AA8" s="33" t="str">
        <f>IF(AND(C8&gt;0,N8=""),"Enter","OK")</f>
        <v>OK</v>
      </c>
      <c r="AB8" s="33" t="str">
        <f>IF(COUNTIF($H$8:$H$57,Data!KF3),Data!KG3,"")</f>
        <v/>
      </c>
      <c r="AC8" s="33" t="str">
        <f>IF(SUM(--ISNUMBER(SEARCH({"Bay","Corner"}, H8:H17))),"Yes","No")</f>
        <v>No</v>
      </c>
    </row>
    <row r="9" spans="1:29" ht="30" customHeight="1">
      <c r="A9" s="51">
        <v>2</v>
      </c>
      <c r="B9" s="19"/>
      <c r="C9" s="27"/>
      <c r="D9" s="13"/>
      <c r="E9" s="72"/>
      <c r="F9" s="14"/>
      <c r="G9" s="14"/>
      <c r="H9" s="14"/>
      <c r="I9" s="14"/>
      <c r="J9" s="525"/>
      <c r="K9" s="526"/>
      <c r="L9" s="15"/>
      <c r="M9" s="15"/>
      <c r="N9" s="15"/>
      <c r="O9" s="527"/>
      <c r="P9" s="527"/>
      <c r="Q9" s="19"/>
      <c r="R9" s="13"/>
      <c r="S9" s="13"/>
      <c r="T9" s="13"/>
      <c r="U9" s="175"/>
      <c r="V9" s="229"/>
      <c r="W9" s="230"/>
      <c r="AA9" s="33" t="str">
        <f t="shared" ref="AA9:AA57" si="0">IF(AND(C9&gt;0,N9=""),"Enter","OK")</f>
        <v>OK</v>
      </c>
      <c r="AB9" s="33" t="str">
        <f>IF(COUNTIF($H$8:$H$57,Data!KF4),Data!KG4,"")</f>
        <v/>
      </c>
    </row>
    <row r="10" spans="1:29" ht="30" customHeight="1">
      <c r="A10" s="52">
        <v>3</v>
      </c>
      <c r="B10" s="17"/>
      <c r="C10" s="17"/>
      <c r="D10" s="13"/>
      <c r="E10" s="72"/>
      <c r="F10" s="14"/>
      <c r="G10" s="14"/>
      <c r="H10" s="14"/>
      <c r="I10" s="14"/>
      <c r="J10" s="525"/>
      <c r="K10" s="526"/>
      <c r="L10" s="15"/>
      <c r="M10" s="15"/>
      <c r="N10" s="15"/>
      <c r="O10" s="527"/>
      <c r="P10" s="527"/>
      <c r="Q10" s="13"/>
      <c r="R10" s="13"/>
      <c r="S10" s="13"/>
      <c r="T10" s="13"/>
      <c r="U10" s="175"/>
      <c r="V10" s="229"/>
      <c r="W10" s="230"/>
      <c r="AA10" s="33" t="str">
        <f t="shared" si="0"/>
        <v>OK</v>
      </c>
      <c r="AB10" s="33" t="str">
        <f>IF(COUNTIF($H$8:$H$57,Data!KF5),Data!KG5,"")</f>
        <v/>
      </c>
    </row>
    <row r="11" spans="1:29" ht="30" customHeight="1">
      <c r="A11" s="52">
        <v>4</v>
      </c>
      <c r="B11" s="17"/>
      <c r="C11" s="17"/>
      <c r="D11" s="13"/>
      <c r="E11" s="72"/>
      <c r="F11" s="14"/>
      <c r="G11" s="14"/>
      <c r="H11" s="14"/>
      <c r="I11" s="14"/>
      <c r="J11" s="525"/>
      <c r="K11" s="526"/>
      <c r="L11" s="15"/>
      <c r="M11" s="15"/>
      <c r="N11" s="15"/>
      <c r="O11" s="527"/>
      <c r="P11" s="527"/>
      <c r="Q11" s="13"/>
      <c r="R11" s="13"/>
      <c r="S11" s="13"/>
      <c r="T11" s="13"/>
      <c r="U11" s="175"/>
      <c r="V11" s="229"/>
      <c r="W11" s="230"/>
      <c r="AA11" s="33" t="str">
        <f t="shared" si="0"/>
        <v>OK</v>
      </c>
      <c r="AB11" s="33" t="str">
        <f>IF(COUNTIF($H$8:$H$57,Data!KF6),Data!KG6,"")</f>
        <v/>
      </c>
    </row>
    <row r="12" spans="1:29" ht="30" customHeight="1">
      <c r="A12" s="52">
        <v>5</v>
      </c>
      <c r="B12" s="17"/>
      <c r="C12" s="17"/>
      <c r="D12" s="13"/>
      <c r="E12" s="72"/>
      <c r="F12" s="14"/>
      <c r="G12" s="14"/>
      <c r="H12" s="14"/>
      <c r="I12" s="14"/>
      <c r="J12" s="525"/>
      <c r="K12" s="526"/>
      <c r="L12" s="15"/>
      <c r="M12" s="15"/>
      <c r="N12" s="15"/>
      <c r="O12" s="527"/>
      <c r="P12" s="527"/>
      <c r="Q12" s="13"/>
      <c r="R12" s="13"/>
      <c r="S12" s="13"/>
      <c r="T12" s="13"/>
      <c r="U12" s="175"/>
      <c r="V12" s="229"/>
      <c r="W12" s="230"/>
      <c r="AA12" s="33" t="str">
        <f t="shared" si="0"/>
        <v>OK</v>
      </c>
      <c r="AB12" s="33" t="str">
        <f>IF(COUNTIF($H$8:$H$57,Data!KF7),Data!KG7,"")</f>
        <v/>
      </c>
    </row>
    <row r="13" spans="1:29" ht="30" customHeight="1">
      <c r="A13" s="52">
        <v>6</v>
      </c>
      <c r="B13" s="17"/>
      <c r="C13" s="17"/>
      <c r="D13" s="13"/>
      <c r="E13" s="72"/>
      <c r="F13" s="14"/>
      <c r="G13" s="14"/>
      <c r="H13" s="14"/>
      <c r="I13" s="14"/>
      <c r="J13" s="525"/>
      <c r="K13" s="526"/>
      <c r="L13" s="15"/>
      <c r="M13" s="15"/>
      <c r="N13" s="15"/>
      <c r="O13" s="527"/>
      <c r="P13" s="527"/>
      <c r="Q13" s="13"/>
      <c r="R13" s="13"/>
      <c r="S13" s="13"/>
      <c r="T13" s="13"/>
      <c r="U13" s="175"/>
      <c r="V13" s="229"/>
      <c r="W13" s="230"/>
      <c r="AA13" s="33" t="str">
        <f t="shared" si="0"/>
        <v>OK</v>
      </c>
      <c r="AB13" s="33" t="str">
        <f>IF(COUNTIF($H$8:$H$57,Data!KF8),Data!KG8,"")</f>
        <v/>
      </c>
    </row>
    <row r="14" spans="1:29" ht="30" customHeight="1">
      <c r="A14" s="52">
        <v>7</v>
      </c>
      <c r="B14" s="20"/>
      <c r="C14" s="17"/>
      <c r="D14" s="19"/>
      <c r="E14" s="72"/>
      <c r="F14" s="14"/>
      <c r="G14" s="14"/>
      <c r="H14" s="14"/>
      <c r="I14" s="14"/>
      <c r="J14" s="525"/>
      <c r="K14" s="526"/>
      <c r="L14" s="15"/>
      <c r="M14" s="15"/>
      <c r="N14" s="15"/>
      <c r="O14" s="527"/>
      <c r="P14" s="527"/>
      <c r="Q14" s="13"/>
      <c r="R14" s="19"/>
      <c r="S14" s="13"/>
      <c r="T14" s="13"/>
      <c r="U14" s="175"/>
      <c r="V14" s="229"/>
      <c r="W14" s="230"/>
      <c r="AA14" s="33" t="str">
        <f t="shared" si="0"/>
        <v>OK</v>
      </c>
      <c r="AB14" s="33" t="str">
        <f>IF(COUNTIF($H$8:$H$57,Data!KF9),Data!KG9,"")</f>
        <v/>
      </c>
    </row>
    <row r="15" spans="1:29" ht="30" customHeight="1">
      <c r="A15" s="52">
        <v>8</v>
      </c>
      <c r="B15" s="20"/>
      <c r="C15" s="17"/>
      <c r="D15" s="13"/>
      <c r="E15" s="72"/>
      <c r="F15" s="14"/>
      <c r="G15" s="14"/>
      <c r="H15" s="14"/>
      <c r="I15" s="14"/>
      <c r="J15" s="525"/>
      <c r="K15" s="526"/>
      <c r="L15" s="15"/>
      <c r="M15" s="15"/>
      <c r="N15" s="15"/>
      <c r="O15" s="527"/>
      <c r="P15" s="527"/>
      <c r="Q15" s="13"/>
      <c r="R15" s="13"/>
      <c r="S15" s="13"/>
      <c r="T15" s="13"/>
      <c r="U15" s="175"/>
      <c r="V15" s="229"/>
      <c r="W15" s="230"/>
      <c r="AA15" s="33" t="str">
        <f t="shared" si="0"/>
        <v>OK</v>
      </c>
      <c r="AB15" s="33" t="str">
        <f>IF(COUNTIF(AB8:AB14,Data!KG6),Data!KH6,"")</f>
        <v/>
      </c>
    </row>
    <row r="16" spans="1:29" ht="30" customHeight="1">
      <c r="A16" s="52">
        <v>9</v>
      </c>
      <c r="B16" s="17"/>
      <c r="C16" s="17"/>
      <c r="D16" s="13"/>
      <c r="E16" s="72"/>
      <c r="F16" s="14"/>
      <c r="G16" s="14"/>
      <c r="H16" s="14"/>
      <c r="I16" s="14"/>
      <c r="J16" s="525"/>
      <c r="K16" s="526"/>
      <c r="L16" s="15"/>
      <c r="M16" s="15"/>
      <c r="N16" s="15"/>
      <c r="O16" s="527"/>
      <c r="P16" s="527"/>
      <c r="Q16" s="13"/>
      <c r="R16" s="13"/>
      <c r="S16" s="13"/>
      <c r="T16" s="13"/>
      <c r="U16" s="175"/>
      <c r="V16" s="229"/>
      <c r="W16" s="230"/>
      <c r="AA16" s="33" t="str">
        <f t="shared" si="0"/>
        <v>OK</v>
      </c>
      <c r="AB16" s="33" t="str">
        <f>IF(COUNTIF(AB8:AB14,Data!KG7),Data!KH7,"")</f>
        <v/>
      </c>
    </row>
    <row r="17" spans="1:28" ht="30" customHeight="1">
      <c r="A17" s="52">
        <v>10</v>
      </c>
      <c r="B17" s="17"/>
      <c r="C17" s="17"/>
      <c r="D17" s="13"/>
      <c r="E17" s="72"/>
      <c r="F17" s="14"/>
      <c r="G17" s="14"/>
      <c r="H17" s="14"/>
      <c r="I17" s="14"/>
      <c r="J17" s="525"/>
      <c r="K17" s="526"/>
      <c r="L17" s="15"/>
      <c r="M17" s="15"/>
      <c r="N17" s="15"/>
      <c r="O17" s="527"/>
      <c r="P17" s="527"/>
      <c r="Q17" s="13"/>
      <c r="R17" s="13"/>
      <c r="S17" s="13"/>
      <c r="T17" s="13"/>
      <c r="U17" s="175"/>
      <c r="V17" s="229"/>
      <c r="W17" s="230"/>
      <c r="AA17" s="33" t="str">
        <f t="shared" si="0"/>
        <v>OK</v>
      </c>
      <c r="AB17" s="33" t="str">
        <f>AB15&amp;" &amp; "&amp;AB16&amp;""</f>
        <v xml:space="preserve"> &amp; </v>
      </c>
    </row>
    <row r="18" spans="1:28" ht="30" customHeight="1">
      <c r="A18" s="52">
        <v>11</v>
      </c>
      <c r="B18" s="17"/>
      <c r="C18" s="17"/>
      <c r="D18" s="13"/>
      <c r="E18" s="72"/>
      <c r="F18" s="14"/>
      <c r="G18" s="14"/>
      <c r="H18" s="14"/>
      <c r="I18" s="14"/>
      <c r="J18" s="525"/>
      <c r="K18" s="526"/>
      <c r="L18" s="15"/>
      <c r="M18" s="15"/>
      <c r="N18" s="15"/>
      <c r="O18" s="527"/>
      <c r="P18" s="527"/>
      <c r="Q18" s="13"/>
      <c r="R18" s="13"/>
      <c r="S18" s="13"/>
      <c r="T18" s="13"/>
      <c r="U18" s="175"/>
      <c r="V18" s="229"/>
      <c r="W18" s="230"/>
      <c r="AA18" s="33" t="str">
        <f t="shared" si="0"/>
        <v>OK</v>
      </c>
      <c r="AB18" s="33" t="str">
        <f>IF(AB17="Corner &amp; Bay","Corner &amp; Bay Window Diagram Must Be Supplied",IF(AB15="Corner","Corner Window Diagram Must Be Supplied",IF(AB16="Bay","Bay Window Diagram Must Be Supplied","")))</f>
        <v/>
      </c>
    </row>
    <row r="19" spans="1:28" ht="30" customHeight="1">
      <c r="A19" s="52">
        <v>12</v>
      </c>
      <c r="B19" s="17"/>
      <c r="C19" s="17"/>
      <c r="D19" s="13"/>
      <c r="E19" s="72"/>
      <c r="F19" s="14"/>
      <c r="G19" s="14"/>
      <c r="H19" s="14"/>
      <c r="I19" s="14"/>
      <c r="J19" s="525"/>
      <c r="K19" s="526"/>
      <c r="L19" s="15"/>
      <c r="M19" s="15"/>
      <c r="N19" s="15"/>
      <c r="O19" s="527"/>
      <c r="P19" s="527"/>
      <c r="Q19" s="12"/>
      <c r="R19" s="13"/>
      <c r="S19" s="13"/>
      <c r="T19" s="13"/>
      <c r="U19" s="175"/>
      <c r="V19" s="229"/>
      <c r="W19" s="230"/>
      <c r="AA19" s="33" t="str">
        <f t="shared" si="0"/>
        <v>OK</v>
      </c>
    </row>
    <row r="20" spans="1:28" ht="30" customHeight="1">
      <c r="A20" s="52">
        <v>13</v>
      </c>
      <c r="B20" s="20"/>
      <c r="C20" s="17"/>
      <c r="D20" s="13"/>
      <c r="E20" s="72"/>
      <c r="F20" s="14"/>
      <c r="G20" s="14"/>
      <c r="H20" s="14"/>
      <c r="I20" s="14"/>
      <c r="J20" s="525"/>
      <c r="K20" s="526"/>
      <c r="L20" s="15"/>
      <c r="M20" s="15"/>
      <c r="N20" s="15"/>
      <c r="O20" s="527"/>
      <c r="P20" s="527"/>
      <c r="Q20" s="13"/>
      <c r="R20" s="13"/>
      <c r="S20" s="13"/>
      <c r="T20" s="13"/>
      <c r="U20" s="175"/>
      <c r="V20" s="229"/>
      <c r="W20" s="230"/>
      <c r="AA20" s="33" t="str">
        <f t="shared" si="0"/>
        <v>OK</v>
      </c>
    </row>
    <row r="21" spans="1:28" ht="30" customHeight="1">
      <c r="A21" s="52">
        <v>14</v>
      </c>
      <c r="B21" s="17"/>
      <c r="C21" s="17"/>
      <c r="D21" s="13"/>
      <c r="E21" s="72"/>
      <c r="F21" s="14"/>
      <c r="G21" s="14"/>
      <c r="H21" s="14"/>
      <c r="I21" s="14"/>
      <c r="J21" s="525"/>
      <c r="K21" s="526"/>
      <c r="L21" s="15"/>
      <c r="M21" s="15"/>
      <c r="N21" s="15"/>
      <c r="O21" s="527"/>
      <c r="P21" s="527"/>
      <c r="Q21" s="13"/>
      <c r="R21" s="13"/>
      <c r="S21" s="13"/>
      <c r="T21" s="13"/>
      <c r="U21" s="175"/>
      <c r="V21" s="229"/>
      <c r="W21" s="230"/>
      <c r="AA21" s="33" t="str">
        <f t="shared" si="0"/>
        <v>OK</v>
      </c>
    </row>
    <row r="22" spans="1:28" ht="30" customHeight="1">
      <c r="A22" s="52">
        <v>15</v>
      </c>
      <c r="B22" s="17"/>
      <c r="C22" s="17"/>
      <c r="D22" s="13"/>
      <c r="E22" s="72"/>
      <c r="F22" s="14"/>
      <c r="G22" s="14"/>
      <c r="H22" s="14"/>
      <c r="I22" s="14"/>
      <c r="J22" s="525"/>
      <c r="K22" s="526"/>
      <c r="L22" s="15"/>
      <c r="M22" s="15"/>
      <c r="N22" s="15"/>
      <c r="O22" s="527"/>
      <c r="P22" s="527"/>
      <c r="Q22" s="13"/>
      <c r="R22" s="19"/>
      <c r="S22" s="13"/>
      <c r="T22" s="13"/>
      <c r="U22" s="175"/>
      <c r="V22" s="229"/>
      <c r="W22" s="230"/>
      <c r="AA22" s="33" t="str">
        <f t="shared" si="0"/>
        <v>OK</v>
      </c>
    </row>
    <row r="23" spans="1:28" ht="30" customHeight="1">
      <c r="A23" s="52">
        <v>16</v>
      </c>
      <c r="B23" s="17"/>
      <c r="C23" s="17"/>
      <c r="D23" s="13"/>
      <c r="E23" s="72"/>
      <c r="F23" s="14"/>
      <c r="G23" s="14"/>
      <c r="H23" s="14"/>
      <c r="I23" s="14"/>
      <c r="J23" s="525"/>
      <c r="K23" s="526"/>
      <c r="L23" s="15"/>
      <c r="M23" s="15"/>
      <c r="N23" s="15"/>
      <c r="O23" s="527"/>
      <c r="P23" s="527"/>
      <c r="Q23" s="13"/>
      <c r="R23" s="13"/>
      <c r="S23" s="13"/>
      <c r="T23" s="13"/>
      <c r="U23" s="175"/>
      <c r="V23" s="229"/>
      <c r="W23" s="230"/>
      <c r="AA23" s="33" t="str">
        <f t="shared" si="0"/>
        <v>OK</v>
      </c>
    </row>
    <row r="24" spans="1:28" ht="30" customHeight="1">
      <c r="A24" s="52">
        <v>17</v>
      </c>
      <c r="B24" s="20"/>
      <c r="C24" s="17"/>
      <c r="D24" s="13"/>
      <c r="E24" s="72"/>
      <c r="F24" s="14"/>
      <c r="G24" s="14"/>
      <c r="H24" s="14"/>
      <c r="I24" s="14"/>
      <c r="J24" s="525"/>
      <c r="K24" s="526"/>
      <c r="L24" s="15"/>
      <c r="M24" s="15"/>
      <c r="N24" s="15"/>
      <c r="O24" s="527"/>
      <c r="P24" s="527"/>
      <c r="Q24" s="13"/>
      <c r="R24" s="13"/>
      <c r="S24" s="13"/>
      <c r="T24" s="13"/>
      <c r="U24" s="175"/>
      <c r="V24" s="229"/>
      <c r="W24" s="230"/>
      <c r="AA24" s="33" t="str">
        <f t="shared" si="0"/>
        <v>OK</v>
      </c>
    </row>
    <row r="25" spans="1:28" ht="30" customHeight="1">
      <c r="A25" s="52">
        <v>18</v>
      </c>
      <c r="B25" s="17"/>
      <c r="C25" s="17"/>
      <c r="D25" s="13"/>
      <c r="E25" s="72"/>
      <c r="F25" s="14"/>
      <c r="G25" s="14"/>
      <c r="H25" s="14"/>
      <c r="I25" s="14"/>
      <c r="J25" s="525"/>
      <c r="K25" s="526"/>
      <c r="L25" s="15"/>
      <c r="M25" s="15"/>
      <c r="N25" s="15"/>
      <c r="O25" s="527"/>
      <c r="P25" s="527"/>
      <c r="Q25" s="13"/>
      <c r="R25" s="19"/>
      <c r="S25" s="13"/>
      <c r="T25" s="13"/>
      <c r="U25" s="175"/>
      <c r="V25" s="229"/>
      <c r="W25" s="230"/>
      <c r="AA25" s="33" t="str">
        <f t="shared" si="0"/>
        <v>OK</v>
      </c>
    </row>
    <row r="26" spans="1:28" ht="30" customHeight="1">
      <c r="A26" s="52">
        <v>19</v>
      </c>
      <c r="B26" s="17"/>
      <c r="C26" s="17"/>
      <c r="D26" s="13"/>
      <c r="E26" s="72"/>
      <c r="F26" s="14"/>
      <c r="G26" s="14"/>
      <c r="H26" s="14"/>
      <c r="I26" s="14"/>
      <c r="J26" s="525"/>
      <c r="K26" s="526"/>
      <c r="L26" s="15"/>
      <c r="M26" s="15"/>
      <c r="N26" s="15"/>
      <c r="O26" s="527"/>
      <c r="P26" s="527"/>
      <c r="Q26" s="13"/>
      <c r="R26" s="13"/>
      <c r="S26" s="13"/>
      <c r="T26" s="13"/>
      <c r="U26" s="175"/>
      <c r="V26" s="229"/>
      <c r="W26" s="230"/>
      <c r="AA26" s="33" t="str">
        <f t="shared" si="0"/>
        <v>OK</v>
      </c>
    </row>
    <row r="27" spans="1:28" ht="30" customHeight="1">
      <c r="A27" s="52">
        <v>20</v>
      </c>
      <c r="B27" s="13"/>
      <c r="C27" s="13"/>
      <c r="D27" s="13"/>
      <c r="E27" s="72"/>
      <c r="F27" s="14"/>
      <c r="G27" s="14"/>
      <c r="H27" s="14"/>
      <c r="I27" s="14"/>
      <c r="J27" s="525"/>
      <c r="K27" s="526"/>
      <c r="L27" s="15"/>
      <c r="M27" s="15"/>
      <c r="N27" s="15"/>
      <c r="O27" s="527"/>
      <c r="P27" s="527"/>
      <c r="Q27" s="13"/>
      <c r="R27" s="13"/>
      <c r="S27" s="13"/>
      <c r="T27" s="13"/>
      <c r="U27" s="175"/>
      <c r="V27" s="229"/>
      <c r="W27" s="230"/>
      <c r="AA27" s="33" t="str">
        <f t="shared" si="0"/>
        <v>OK</v>
      </c>
    </row>
    <row r="28" spans="1:28" ht="30" customHeight="1">
      <c r="A28" s="52">
        <v>21</v>
      </c>
      <c r="B28" s="19"/>
      <c r="C28" s="13"/>
      <c r="D28" s="13"/>
      <c r="E28" s="72"/>
      <c r="F28" s="14"/>
      <c r="G28" s="14"/>
      <c r="H28" s="14"/>
      <c r="I28" s="14"/>
      <c r="J28" s="525"/>
      <c r="K28" s="526"/>
      <c r="L28" s="15"/>
      <c r="M28" s="15"/>
      <c r="N28" s="15"/>
      <c r="O28" s="527"/>
      <c r="P28" s="527"/>
      <c r="Q28" s="13"/>
      <c r="R28" s="13"/>
      <c r="S28" s="13"/>
      <c r="T28" s="13"/>
      <c r="U28" s="175"/>
      <c r="V28" s="229"/>
      <c r="W28" s="230"/>
      <c r="AA28" s="33" t="str">
        <f t="shared" si="0"/>
        <v>OK</v>
      </c>
    </row>
    <row r="29" spans="1:28" ht="30" customHeight="1">
      <c r="A29" s="52">
        <v>22</v>
      </c>
      <c r="B29" s="13"/>
      <c r="C29" s="13"/>
      <c r="D29" s="13"/>
      <c r="E29" s="72"/>
      <c r="F29" s="14"/>
      <c r="G29" s="14"/>
      <c r="H29" s="14"/>
      <c r="I29" s="14"/>
      <c r="J29" s="525"/>
      <c r="K29" s="526"/>
      <c r="L29" s="15"/>
      <c r="M29" s="15"/>
      <c r="N29" s="15"/>
      <c r="O29" s="527"/>
      <c r="P29" s="527"/>
      <c r="Q29" s="13"/>
      <c r="R29" s="13"/>
      <c r="S29" s="13"/>
      <c r="T29" s="13"/>
      <c r="U29" s="175"/>
      <c r="V29" s="229"/>
      <c r="W29" s="230"/>
      <c r="AA29" s="33" t="str">
        <f t="shared" si="0"/>
        <v>OK</v>
      </c>
    </row>
    <row r="30" spans="1:28" ht="30" customHeight="1">
      <c r="A30" s="52">
        <v>23</v>
      </c>
      <c r="B30" s="13"/>
      <c r="C30" s="13"/>
      <c r="D30" s="13"/>
      <c r="E30" s="72"/>
      <c r="F30" s="14"/>
      <c r="G30" s="14"/>
      <c r="H30" s="14"/>
      <c r="I30" s="14"/>
      <c r="J30" s="525"/>
      <c r="K30" s="526"/>
      <c r="L30" s="15"/>
      <c r="M30" s="15"/>
      <c r="N30" s="15"/>
      <c r="O30" s="527"/>
      <c r="P30" s="527"/>
      <c r="Q30" s="13"/>
      <c r="R30" s="13"/>
      <c r="S30" s="13"/>
      <c r="T30" s="13"/>
      <c r="U30" s="175"/>
      <c r="V30" s="229"/>
      <c r="W30" s="230"/>
      <c r="AA30" s="33" t="str">
        <f t="shared" si="0"/>
        <v>OK</v>
      </c>
    </row>
    <row r="31" spans="1:28" ht="30" customHeight="1">
      <c r="A31" s="52">
        <v>24</v>
      </c>
      <c r="B31" s="13"/>
      <c r="C31" s="13"/>
      <c r="D31" s="13"/>
      <c r="E31" s="72"/>
      <c r="F31" s="14"/>
      <c r="G31" s="14"/>
      <c r="H31" s="14"/>
      <c r="I31" s="14"/>
      <c r="J31" s="525"/>
      <c r="K31" s="526"/>
      <c r="L31" s="15"/>
      <c r="M31" s="15"/>
      <c r="N31" s="15"/>
      <c r="O31" s="527"/>
      <c r="P31" s="527"/>
      <c r="Q31" s="13"/>
      <c r="R31" s="13"/>
      <c r="S31" s="13"/>
      <c r="T31" s="13"/>
      <c r="U31" s="175"/>
      <c r="V31" s="229"/>
      <c r="W31" s="230"/>
      <c r="AA31" s="33" t="str">
        <f t="shared" si="0"/>
        <v>OK</v>
      </c>
    </row>
    <row r="32" spans="1:28" ht="30" customHeight="1">
      <c r="A32" s="52">
        <v>25</v>
      </c>
      <c r="B32" s="13"/>
      <c r="C32" s="13"/>
      <c r="D32" s="13"/>
      <c r="E32" s="72"/>
      <c r="F32" s="14"/>
      <c r="G32" s="14"/>
      <c r="H32" s="14"/>
      <c r="I32" s="14"/>
      <c r="J32" s="525"/>
      <c r="K32" s="526"/>
      <c r="L32" s="15"/>
      <c r="M32" s="15"/>
      <c r="N32" s="15"/>
      <c r="O32" s="527"/>
      <c r="P32" s="527"/>
      <c r="Q32" s="13"/>
      <c r="R32" s="13"/>
      <c r="S32" s="13"/>
      <c r="T32" s="13"/>
      <c r="U32" s="175"/>
      <c r="V32" s="229"/>
      <c r="W32" s="230"/>
      <c r="AA32" s="33" t="str">
        <f t="shared" si="0"/>
        <v>OK</v>
      </c>
    </row>
    <row r="33" spans="1:27" ht="30" customHeight="1">
      <c r="A33" s="52">
        <v>26</v>
      </c>
      <c r="B33" s="13"/>
      <c r="C33" s="13"/>
      <c r="D33" s="13"/>
      <c r="E33" s="72"/>
      <c r="F33" s="14"/>
      <c r="G33" s="14"/>
      <c r="H33" s="14"/>
      <c r="I33" s="14"/>
      <c r="J33" s="525"/>
      <c r="K33" s="526"/>
      <c r="L33" s="15"/>
      <c r="M33" s="15"/>
      <c r="N33" s="15"/>
      <c r="O33" s="527"/>
      <c r="P33" s="527"/>
      <c r="Q33" s="13"/>
      <c r="R33" s="13"/>
      <c r="S33" s="13"/>
      <c r="T33" s="13"/>
      <c r="U33" s="175"/>
      <c r="V33" s="229"/>
      <c r="W33" s="230"/>
      <c r="AA33" s="33" t="str">
        <f t="shared" si="0"/>
        <v>OK</v>
      </c>
    </row>
    <row r="34" spans="1:27" ht="30" customHeight="1">
      <c r="A34" s="52">
        <v>27</v>
      </c>
      <c r="B34" s="19"/>
      <c r="C34" s="13"/>
      <c r="D34" s="13"/>
      <c r="E34" s="72"/>
      <c r="F34" s="14"/>
      <c r="G34" s="14"/>
      <c r="H34" s="14"/>
      <c r="I34" s="14"/>
      <c r="J34" s="525"/>
      <c r="K34" s="526"/>
      <c r="L34" s="15"/>
      <c r="M34" s="15"/>
      <c r="N34" s="15"/>
      <c r="O34" s="527"/>
      <c r="P34" s="527"/>
      <c r="Q34" s="13"/>
      <c r="R34" s="13"/>
      <c r="S34" s="13"/>
      <c r="T34" s="13"/>
      <c r="U34" s="175"/>
      <c r="V34" s="229"/>
      <c r="W34" s="230"/>
      <c r="AA34" s="33" t="str">
        <f t="shared" si="0"/>
        <v>OK</v>
      </c>
    </row>
    <row r="35" spans="1:27" ht="30" customHeight="1">
      <c r="A35" s="52">
        <v>28</v>
      </c>
      <c r="B35" s="13"/>
      <c r="C35" s="13"/>
      <c r="D35" s="13"/>
      <c r="E35" s="72"/>
      <c r="F35" s="14"/>
      <c r="G35" s="14"/>
      <c r="H35" s="14"/>
      <c r="I35" s="14"/>
      <c r="J35" s="525"/>
      <c r="K35" s="526"/>
      <c r="L35" s="15"/>
      <c r="M35" s="15"/>
      <c r="N35" s="15"/>
      <c r="O35" s="527"/>
      <c r="P35" s="527"/>
      <c r="Q35" s="13"/>
      <c r="R35" s="13"/>
      <c r="S35" s="13"/>
      <c r="T35" s="13"/>
      <c r="U35" s="175"/>
      <c r="V35" s="229"/>
      <c r="W35" s="230"/>
      <c r="AA35" s="33" t="str">
        <f t="shared" si="0"/>
        <v>OK</v>
      </c>
    </row>
    <row r="36" spans="1:27" ht="30" customHeight="1">
      <c r="A36" s="52">
        <v>29</v>
      </c>
      <c r="B36" s="13"/>
      <c r="C36" s="13"/>
      <c r="D36" s="13"/>
      <c r="E36" s="72"/>
      <c r="F36" s="14"/>
      <c r="G36" s="14"/>
      <c r="H36" s="14"/>
      <c r="I36" s="14"/>
      <c r="J36" s="525"/>
      <c r="K36" s="526"/>
      <c r="L36" s="15"/>
      <c r="M36" s="15"/>
      <c r="N36" s="15"/>
      <c r="O36" s="527"/>
      <c r="P36" s="527"/>
      <c r="Q36" s="13"/>
      <c r="R36" s="13"/>
      <c r="S36" s="13"/>
      <c r="T36" s="13"/>
      <c r="U36" s="175"/>
      <c r="V36" s="229"/>
      <c r="W36" s="230"/>
      <c r="AA36" s="33" t="str">
        <f t="shared" si="0"/>
        <v>OK</v>
      </c>
    </row>
    <row r="37" spans="1:27" ht="30" customHeight="1">
      <c r="A37" s="52">
        <v>30</v>
      </c>
      <c r="B37" s="13"/>
      <c r="C37" s="13"/>
      <c r="D37" s="13"/>
      <c r="E37" s="72"/>
      <c r="F37" s="14"/>
      <c r="G37" s="14"/>
      <c r="H37" s="14"/>
      <c r="I37" s="14"/>
      <c r="J37" s="525"/>
      <c r="K37" s="526"/>
      <c r="L37" s="15"/>
      <c r="M37" s="15"/>
      <c r="N37" s="15"/>
      <c r="O37" s="527"/>
      <c r="P37" s="527"/>
      <c r="Q37" s="13"/>
      <c r="R37" s="13"/>
      <c r="S37" s="13"/>
      <c r="T37" s="13"/>
      <c r="U37" s="175"/>
      <c r="V37" s="229"/>
      <c r="W37" s="230"/>
      <c r="AA37" s="33" t="str">
        <f t="shared" si="0"/>
        <v>OK</v>
      </c>
    </row>
    <row r="38" spans="1:27" ht="30" customHeight="1">
      <c r="A38" s="52">
        <v>31</v>
      </c>
      <c r="B38" s="13"/>
      <c r="C38" s="13"/>
      <c r="D38" s="13"/>
      <c r="E38" s="72"/>
      <c r="F38" s="14"/>
      <c r="G38" s="14"/>
      <c r="H38" s="14"/>
      <c r="I38" s="14"/>
      <c r="J38" s="525"/>
      <c r="K38" s="526"/>
      <c r="L38" s="15"/>
      <c r="M38" s="15"/>
      <c r="N38" s="15"/>
      <c r="O38" s="527"/>
      <c r="P38" s="527"/>
      <c r="Q38" s="13"/>
      <c r="R38" s="19"/>
      <c r="S38" s="13"/>
      <c r="T38" s="13"/>
      <c r="U38" s="175"/>
      <c r="V38" s="229"/>
      <c r="W38" s="230"/>
      <c r="AA38" s="33" t="str">
        <f t="shared" si="0"/>
        <v>OK</v>
      </c>
    </row>
    <row r="39" spans="1:27" ht="30" customHeight="1">
      <c r="A39" s="52">
        <v>32</v>
      </c>
      <c r="B39" s="13"/>
      <c r="C39" s="13"/>
      <c r="D39" s="13"/>
      <c r="E39" s="72"/>
      <c r="F39" s="14"/>
      <c r="G39" s="14"/>
      <c r="H39" s="14"/>
      <c r="I39" s="14"/>
      <c r="J39" s="525"/>
      <c r="K39" s="526"/>
      <c r="L39" s="15"/>
      <c r="M39" s="15"/>
      <c r="N39" s="15"/>
      <c r="O39" s="527"/>
      <c r="P39" s="527"/>
      <c r="Q39" s="13"/>
      <c r="R39" s="13"/>
      <c r="S39" s="13"/>
      <c r="T39" s="13"/>
      <c r="U39" s="175"/>
      <c r="V39" s="229"/>
      <c r="W39" s="230"/>
      <c r="AA39" s="33" t="str">
        <f t="shared" si="0"/>
        <v>OK</v>
      </c>
    </row>
    <row r="40" spans="1:27" ht="30" customHeight="1">
      <c r="A40" s="52">
        <v>33</v>
      </c>
      <c r="B40" s="13"/>
      <c r="C40" s="13"/>
      <c r="D40" s="13"/>
      <c r="E40" s="72"/>
      <c r="F40" s="14"/>
      <c r="G40" s="14"/>
      <c r="H40" s="14"/>
      <c r="I40" s="14"/>
      <c r="J40" s="525"/>
      <c r="K40" s="526"/>
      <c r="L40" s="15"/>
      <c r="M40" s="15"/>
      <c r="N40" s="15"/>
      <c r="O40" s="527"/>
      <c r="P40" s="527"/>
      <c r="Q40" s="13"/>
      <c r="R40" s="13"/>
      <c r="S40" s="13"/>
      <c r="T40" s="13"/>
      <c r="U40" s="175"/>
      <c r="V40" s="229"/>
      <c r="W40" s="230"/>
      <c r="AA40" s="33" t="str">
        <f t="shared" si="0"/>
        <v>OK</v>
      </c>
    </row>
    <row r="41" spans="1:27" ht="30" customHeight="1">
      <c r="A41" s="52">
        <v>34</v>
      </c>
      <c r="B41" s="13"/>
      <c r="C41" s="13"/>
      <c r="D41" s="13"/>
      <c r="E41" s="72"/>
      <c r="F41" s="14"/>
      <c r="G41" s="14"/>
      <c r="H41" s="14"/>
      <c r="I41" s="14"/>
      <c r="J41" s="525"/>
      <c r="K41" s="526"/>
      <c r="L41" s="15"/>
      <c r="M41" s="15"/>
      <c r="N41" s="15"/>
      <c r="O41" s="527"/>
      <c r="P41" s="527"/>
      <c r="Q41" s="13"/>
      <c r="R41" s="19"/>
      <c r="S41" s="13"/>
      <c r="T41" s="13"/>
      <c r="U41" s="175"/>
      <c r="V41" s="229"/>
      <c r="W41" s="230"/>
      <c r="AA41" s="33" t="str">
        <f t="shared" si="0"/>
        <v>OK</v>
      </c>
    </row>
    <row r="42" spans="1:27" ht="30" customHeight="1">
      <c r="A42" s="52">
        <v>35</v>
      </c>
      <c r="B42" s="13"/>
      <c r="C42" s="13"/>
      <c r="D42" s="13"/>
      <c r="E42" s="72"/>
      <c r="F42" s="14"/>
      <c r="G42" s="14"/>
      <c r="H42" s="14"/>
      <c r="I42" s="14"/>
      <c r="J42" s="525"/>
      <c r="K42" s="526"/>
      <c r="L42" s="15"/>
      <c r="M42" s="15"/>
      <c r="N42" s="15"/>
      <c r="O42" s="527"/>
      <c r="P42" s="527"/>
      <c r="Q42" s="13"/>
      <c r="R42" s="13"/>
      <c r="S42" s="13"/>
      <c r="T42" s="13"/>
      <c r="U42" s="175"/>
      <c r="V42" s="229"/>
      <c r="W42" s="230"/>
      <c r="AA42" s="33" t="str">
        <f t="shared" si="0"/>
        <v>OK</v>
      </c>
    </row>
    <row r="43" spans="1:27" ht="30" customHeight="1">
      <c r="A43" s="52">
        <v>36</v>
      </c>
      <c r="B43" s="13"/>
      <c r="C43" s="13"/>
      <c r="D43" s="13"/>
      <c r="E43" s="72"/>
      <c r="F43" s="14"/>
      <c r="G43" s="14"/>
      <c r="H43" s="14"/>
      <c r="I43" s="14"/>
      <c r="J43" s="525"/>
      <c r="K43" s="526"/>
      <c r="L43" s="15"/>
      <c r="M43" s="15"/>
      <c r="N43" s="15"/>
      <c r="O43" s="527"/>
      <c r="P43" s="527"/>
      <c r="Q43" s="13"/>
      <c r="R43" s="13"/>
      <c r="S43" s="13"/>
      <c r="T43" s="13"/>
      <c r="U43" s="175"/>
      <c r="V43" s="229"/>
      <c r="W43" s="230"/>
      <c r="AA43" s="33" t="str">
        <f t="shared" si="0"/>
        <v>OK</v>
      </c>
    </row>
    <row r="44" spans="1:27" ht="30" customHeight="1">
      <c r="A44" s="52">
        <v>37</v>
      </c>
      <c r="B44" s="19"/>
      <c r="C44" s="13"/>
      <c r="D44" s="13"/>
      <c r="E44" s="72"/>
      <c r="F44" s="14"/>
      <c r="G44" s="14"/>
      <c r="H44" s="14"/>
      <c r="I44" s="14"/>
      <c r="J44" s="525"/>
      <c r="K44" s="526"/>
      <c r="L44" s="15"/>
      <c r="M44" s="15"/>
      <c r="N44" s="15"/>
      <c r="O44" s="527"/>
      <c r="P44" s="527"/>
      <c r="Q44" s="13"/>
      <c r="R44" s="13"/>
      <c r="S44" s="13"/>
      <c r="T44" s="13"/>
      <c r="U44" s="175"/>
      <c r="V44" s="229"/>
      <c r="W44" s="230"/>
      <c r="AA44" s="33" t="str">
        <f t="shared" si="0"/>
        <v>OK</v>
      </c>
    </row>
    <row r="45" spans="1:27" ht="30" customHeight="1">
      <c r="A45" s="52">
        <v>38</v>
      </c>
      <c r="B45" s="13"/>
      <c r="C45" s="13"/>
      <c r="D45" s="13"/>
      <c r="E45" s="72"/>
      <c r="F45" s="14"/>
      <c r="G45" s="14"/>
      <c r="H45" s="14"/>
      <c r="I45" s="14"/>
      <c r="J45" s="525"/>
      <c r="K45" s="526"/>
      <c r="L45" s="15"/>
      <c r="M45" s="15"/>
      <c r="N45" s="15"/>
      <c r="O45" s="527"/>
      <c r="P45" s="527"/>
      <c r="Q45" s="13"/>
      <c r="R45" s="13"/>
      <c r="S45" s="13"/>
      <c r="T45" s="13"/>
      <c r="U45" s="175"/>
      <c r="V45" s="229"/>
      <c r="W45" s="230"/>
      <c r="AA45" s="33" t="str">
        <f t="shared" si="0"/>
        <v>OK</v>
      </c>
    </row>
    <row r="46" spans="1:27" ht="30" customHeight="1">
      <c r="A46" s="52">
        <v>39</v>
      </c>
      <c r="B46" s="13"/>
      <c r="C46" s="13"/>
      <c r="D46" s="13"/>
      <c r="E46" s="72"/>
      <c r="F46" s="14"/>
      <c r="G46" s="14"/>
      <c r="H46" s="14"/>
      <c r="I46" s="14"/>
      <c r="J46" s="525"/>
      <c r="K46" s="526"/>
      <c r="L46" s="15"/>
      <c r="M46" s="15"/>
      <c r="N46" s="15"/>
      <c r="O46" s="527"/>
      <c r="P46" s="527"/>
      <c r="Q46" s="13"/>
      <c r="R46" s="13"/>
      <c r="S46" s="13"/>
      <c r="T46" s="13"/>
      <c r="U46" s="175"/>
      <c r="V46" s="229"/>
      <c r="W46" s="230"/>
      <c r="AA46" s="33" t="str">
        <f t="shared" si="0"/>
        <v>OK</v>
      </c>
    </row>
    <row r="47" spans="1:27" ht="30" customHeight="1">
      <c r="A47" s="52">
        <v>40</v>
      </c>
      <c r="B47" s="19"/>
      <c r="C47" s="13"/>
      <c r="D47" s="13"/>
      <c r="E47" s="72"/>
      <c r="F47" s="14"/>
      <c r="G47" s="14"/>
      <c r="H47" s="14"/>
      <c r="I47" s="14"/>
      <c r="J47" s="525"/>
      <c r="K47" s="526"/>
      <c r="L47" s="15"/>
      <c r="M47" s="15"/>
      <c r="N47" s="15"/>
      <c r="O47" s="527"/>
      <c r="P47" s="527"/>
      <c r="Q47" s="13"/>
      <c r="R47" s="13"/>
      <c r="S47" s="13"/>
      <c r="T47" s="13"/>
      <c r="U47" s="175"/>
      <c r="V47" s="229"/>
      <c r="W47" s="230"/>
      <c r="AA47" s="33" t="str">
        <f t="shared" si="0"/>
        <v>OK</v>
      </c>
    </row>
    <row r="48" spans="1:27" ht="30" customHeight="1">
      <c r="A48" s="52">
        <v>41</v>
      </c>
      <c r="B48" s="13"/>
      <c r="C48" s="13"/>
      <c r="D48" s="13"/>
      <c r="E48" s="72"/>
      <c r="F48" s="14"/>
      <c r="G48" s="14"/>
      <c r="H48" s="14"/>
      <c r="I48" s="14"/>
      <c r="J48" s="525"/>
      <c r="K48" s="526"/>
      <c r="L48" s="15"/>
      <c r="M48" s="15"/>
      <c r="N48" s="15"/>
      <c r="O48" s="527"/>
      <c r="P48" s="527"/>
      <c r="Q48" s="13"/>
      <c r="R48" s="13"/>
      <c r="S48" s="13"/>
      <c r="T48" s="13"/>
      <c r="U48" s="175"/>
      <c r="V48" s="229"/>
      <c r="W48" s="230"/>
      <c r="AA48" s="33" t="str">
        <f t="shared" si="0"/>
        <v>OK</v>
      </c>
    </row>
    <row r="49" spans="1:27" ht="30" customHeight="1">
      <c r="A49" s="52">
        <v>42</v>
      </c>
      <c r="B49" s="13"/>
      <c r="C49" s="13"/>
      <c r="D49" s="13"/>
      <c r="E49" s="72"/>
      <c r="F49" s="14"/>
      <c r="G49" s="14"/>
      <c r="H49" s="14"/>
      <c r="I49" s="14"/>
      <c r="J49" s="525"/>
      <c r="K49" s="526"/>
      <c r="L49" s="15"/>
      <c r="M49" s="15"/>
      <c r="N49" s="15"/>
      <c r="O49" s="527"/>
      <c r="P49" s="527"/>
      <c r="Q49" s="13"/>
      <c r="R49" s="13"/>
      <c r="S49" s="13"/>
      <c r="T49" s="13"/>
      <c r="U49" s="175"/>
      <c r="V49" s="229"/>
      <c r="W49" s="230"/>
      <c r="AA49" s="33" t="str">
        <f t="shared" si="0"/>
        <v>OK</v>
      </c>
    </row>
    <row r="50" spans="1:27" ht="30" customHeight="1">
      <c r="A50" s="52">
        <v>43</v>
      </c>
      <c r="B50" s="13"/>
      <c r="C50" s="13"/>
      <c r="D50" s="13"/>
      <c r="E50" s="72"/>
      <c r="F50" s="14"/>
      <c r="G50" s="14"/>
      <c r="H50" s="14"/>
      <c r="I50" s="14"/>
      <c r="J50" s="525"/>
      <c r="K50" s="526"/>
      <c r="L50" s="15"/>
      <c r="M50" s="15"/>
      <c r="N50" s="15"/>
      <c r="O50" s="527"/>
      <c r="P50" s="527"/>
      <c r="Q50" s="13"/>
      <c r="R50" s="13"/>
      <c r="S50" s="13"/>
      <c r="T50" s="13"/>
      <c r="U50" s="175"/>
      <c r="V50" s="229"/>
      <c r="W50" s="230"/>
      <c r="AA50" s="33" t="str">
        <f t="shared" si="0"/>
        <v>OK</v>
      </c>
    </row>
    <row r="51" spans="1:27" ht="30" customHeight="1">
      <c r="A51" s="52">
        <v>44</v>
      </c>
      <c r="B51" s="13"/>
      <c r="C51" s="13"/>
      <c r="D51" s="13"/>
      <c r="E51" s="72"/>
      <c r="F51" s="14"/>
      <c r="G51" s="14"/>
      <c r="H51" s="14"/>
      <c r="I51" s="14"/>
      <c r="J51" s="525"/>
      <c r="K51" s="526"/>
      <c r="L51" s="15"/>
      <c r="M51" s="15"/>
      <c r="N51" s="15"/>
      <c r="O51" s="527"/>
      <c r="P51" s="527"/>
      <c r="Q51" s="13"/>
      <c r="R51" s="13"/>
      <c r="S51" s="13"/>
      <c r="T51" s="13"/>
      <c r="U51" s="175"/>
      <c r="V51" s="229"/>
      <c r="W51" s="230"/>
      <c r="AA51" s="33" t="str">
        <f t="shared" si="0"/>
        <v>OK</v>
      </c>
    </row>
    <row r="52" spans="1:27" ht="30" customHeight="1">
      <c r="A52" s="52">
        <v>45</v>
      </c>
      <c r="B52" s="13"/>
      <c r="C52" s="13"/>
      <c r="D52" s="13"/>
      <c r="E52" s="72"/>
      <c r="F52" s="14"/>
      <c r="G52" s="14"/>
      <c r="H52" s="14"/>
      <c r="I52" s="14"/>
      <c r="J52" s="525"/>
      <c r="K52" s="526"/>
      <c r="L52" s="15"/>
      <c r="M52" s="15"/>
      <c r="N52" s="15"/>
      <c r="O52" s="527"/>
      <c r="P52" s="527"/>
      <c r="Q52" s="13"/>
      <c r="R52" s="13"/>
      <c r="S52" s="13"/>
      <c r="T52" s="13"/>
      <c r="U52" s="175"/>
      <c r="V52" s="229"/>
      <c r="W52" s="230"/>
      <c r="AA52" s="33" t="str">
        <f t="shared" si="0"/>
        <v>OK</v>
      </c>
    </row>
    <row r="53" spans="1:27" ht="30" customHeight="1">
      <c r="A53" s="52">
        <v>46</v>
      </c>
      <c r="B53" s="19"/>
      <c r="C53" s="13"/>
      <c r="D53" s="13"/>
      <c r="E53" s="72"/>
      <c r="F53" s="14"/>
      <c r="G53" s="14"/>
      <c r="H53" s="14"/>
      <c r="I53" s="14"/>
      <c r="J53" s="525"/>
      <c r="K53" s="526"/>
      <c r="L53" s="15"/>
      <c r="M53" s="15"/>
      <c r="N53" s="15"/>
      <c r="O53" s="527"/>
      <c r="P53" s="527"/>
      <c r="Q53" s="13"/>
      <c r="R53" s="13"/>
      <c r="S53" s="13"/>
      <c r="T53" s="13"/>
      <c r="U53" s="175"/>
      <c r="V53" s="229"/>
      <c r="W53" s="230"/>
      <c r="AA53" s="33" t="str">
        <f t="shared" si="0"/>
        <v>OK</v>
      </c>
    </row>
    <row r="54" spans="1:27" ht="30" customHeight="1">
      <c r="A54" s="52">
        <v>47</v>
      </c>
      <c r="B54" s="13"/>
      <c r="C54" s="13"/>
      <c r="D54" s="13"/>
      <c r="E54" s="72"/>
      <c r="F54" s="14"/>
      <c r="G54" s="14"/>
      <c r="H54" s="14"/>
      <c r="I54" s="14"/>
      <c r="J54" s="525"/>
      <c r="K54" s="526"/>
      <c r="L54" s="15"/>
      <c r="M54" s="15"/>
      <c r="N54" s="15"/>
      <c r="O54" s="527"/>
      <c r="P54" s="527"/>
      <c r="Q54" s="13"/>
      <c r="R54" s="13"/>
      <c r="S54" s="13"/>
      <c r="T54" s="13"/>
      <c r="U54" s="175"/>
      <c r="V54" s="229"/>
      <c r="W54" s="230"/>
      <c r="AA54" s="33" t="str">
        <f t="shared" si="0"/>
        <v>OK</v>
      </c>
    </row>
    <row r="55" spans="1:27" ht="30" customHeight="1">
      <c r="A55" s="52">
        <v>48</v>
      </c>
      <c r="B55" s="13"/>
      <c r="C55" s="13"/>
      <c r="D55" s="13"/>
      <c r="E55" s="72"/>
      <c r="F55" s="14"/>
      <c r="G55" s="14"/>
      <c r="H55" s="14"/>
      <c r="I55" s="14"/>
      <c r="J55" s="525"/>
      <c r="K55" s="526"/>
      <c r="L55" s="15"/>
      <c r="M55" s="15"/>
      <c r="N55" s="15"/>
      <c r="O55" s="527"/>
      <c r="P55" s="527"/>
      <c r="Q55" s="13"/>
      <c r="R55" s="13"/>
      <c r="S55" s="13"/>
      <c r="T55" s="13"/>
      <c r="U55" s="175"/>
      <c r="V55" s="229"/>
      <c r="W55" s="230"/>
      <c r="AA55" s="33" t="str">
        <f t="shared" si="0"/>
        <v>OK</v>
      </c>
    </row>
    <row r="56" spans="1:27" ht="30" customHeight="1">
      <c r="A56" s="52">
        <v>49</v>
      </c>
      <c r="B56" s="13"/>
      <c r="C56" s="13"/>
      <c r="D56" s="13"/>
      <c r="E56" s="72"/>
      <c r="F56" s="14"/>
      <c r="G56" s="14"/>
      <c r="H56" s="14"/>
      <c r="I56" s="14"/>
      <c r="J56" s="525"/>
      <c r="K56" s="526"/>
      <c r="L56" s="15"/>
      <c r="M56" s="15"/>
      <c r="N56" s="15"/>
      <c r="O56" s="527"/>
      <c r="P56" s="527"/>
      <c r="Q56" s="13"/>
      <c r="R56" s="13"/>
      <c r="S56" s="13"/>
      <c r="T56" s="13"/>
      <c r="U56" s="175"/>
      <c r="V56" s="229"/>
      <c r="W56" s="230"/>
      <c r="AA56" s="33" t="str">
        <f t="shared" si="0"/>
        <v>OK</v>
      </c>
    </row>
    <row r="57" spans="1:27" ht="30" customHeight="1" thickBot="1">
      <c r="A57" s="53">
        <v>50</v>
      </c>
      <c r="B57" s="21"/>
      <c r="C57" s="21"/>
      <c r="D57" s="21"/>
      <c r="E57" s="73"/>
      <c r="F57" s="22"/>
      <c r="G57" s="22"/>
      <c r="H57" s="22"/>
      <c r="I57" s="22"/>
      <c r="J57" s="528"/>
      <c r="K57" s="529"/>
      <c r="L57" s="44"/>
      <c r="M57" s="44"/>
      <c r="N57" s="44"/>
      <c r="O57" s="530"/>
      <c r="P57" s="530"/>
      <c r="Q57" s="45"/>
      <c r="R57" s="21"/>
      <c r="S57" s="21"/>
      <c r="T57" s="21"/>
      <c r="U57" s="176"/>
      <c r="V57" s="229"/>
      <c r="W57" s="230"/>
      <c r="AA57" s="33" t="str">
        <f t="shared" si="0"/>
        <v>OK</v>
      </c>
    </row>
    <row r="58" spans="1:27" ht="15.75" thickTop="1"/>
  </sheetData>
  <sheetProtection password="A0FF" sheet="1" objects="1" scenarios="1"/>
  <mergeCells count="126">
    <mergeCell ref="F3:I3"/>
    <mergeCell ref="L3:M3"/>
    <mergeCell ref="N3:T3"/>
    <mergeCell ref="L4:M4"/>
    <mergeCell ref="V1:V2"/>
    <mergeCell ref="W1:W2"/>
    <mergeCell ref="V4:V5"/>
    <mergeCell ref="W4:W5"/>
    <mergeCell ref="A1:I1"/>
    <mergeCell ref="L1:M1"/>
    <mergeCell ref="N1:T1"/>
    <mergeCell ref="F2:I2"/>
    <mergeCell ref="L2:M2"/>
    <mergeCell ref="N2:T2"/>
    <mergeCell ref="A4:C4"/>
    <mergeCell ref="D4:E4"/>
    <mergeCell ref="F4:G4"/>
    <mergeCell ref="H4:I4"/>
    <mergeCell ref="N4:T4"/>
    <mergeCell ref="J8:K8"/>
    <mergeCell ref="O8:P8"/>
    <mergeCell ref="J9:K9"/>
    <mergeCell ref="O9:P9"/>
    <mergeCell ref="J10:K10"/>
    <mergeCell ref="O10:P10"/>
    <mergeCell ref="D5:I5"/>
    <mergeCell ref="L5:M5"/>
    <mergeCell ref="N5:T5"/>
    <mergeCell ref="J7:K7"/>
    <mergeCell ref="O7:P7"/>
    <mergeCell ref="L6:M6"/>
    <mergeCell ref="N6:T6"/>
    <mergeCell ref="J14:K14"/>
    <mergeCell ref="O14:P14"/>
    <mergeCell ref="J15:K15"/>
    <mergeCell ref="O15:P15"/>
    <mergeCell ref="J16:K16"/>
    <mergeCell ref="O16:P16"/>
    <mergeCell ref="J11:K11"/>
    <mergeCell ref="O11:P11"/>
    <mergeCell ref="J12:K12"/>
    <mergeCell ref="O12:P12"/>
    <mergeCell ref="J13:K13"/>
    <mergeCell ref="O13:P13"/>
    <mergeCell ref="J20:K20"/>
    <mergeCell ref="O20:P20"/>
    <mergeCell ref="J21:K21"/>
    <mergeCell ref="O21:P21"/>
    <mergeCell ref="J22:K22"/>
    <mergeCell ref="O22:P22"/>
    <mergeCell ref="J17:K17"/>
    <mergeCell ref="O17:P17"/>
    <mergeCell ref="J18:K18"/>
    <mergeCell ref="O18:P18"/>
    <mergeCell ref="J19:K19"/>
    <mergeCell ref="O19:P19"/>
    <mergeCell ref="J26:K26"/>
    <mergeCell ref="O26:P26"/>
    <mergeCell ref="J27:K27"/>
    <mergeCell ref="O27:P27"/>
    <mergeCell ref="J28:K28"/>
    <mergeCell ref="O28:P28"/>
    <mergeCell ref="J23:K23"/>
    <mergeCell ref="O23:P23"/>
    <mergeCell ref="J24:K24"/>
    <mergeCell ref="O24:P24"/>
    <mergeCell ref="J25:K25"/>
    <mergeCell ref="O25:P25"/>
    <mergeCell ref="J32:K32"/>
    <mergeCell ref="O32:P32"/>
    <mergeCell ref="J33:K33"/>
    <mergeCell ref="O33:P33"/>
    <mergeCell ref="J34:K34"/>
    <mergeCell ref="O34:P34"/>
    <mergeCell ref="J29:K29"/>
    <mergeCell ref="O29:P29"/>
    <mergeCell ref="J30:K30"/>
    <mergeCell ref="O30:P30"/>
    <mergeCell ref="J31:K31"/>
    <mergeCell ref="O31:P31"/>
    <mergeCell ref="J38:K38"/>
    <mergeCell ref="O38:P38"/>
    <mergeCell ref="J39:K39"/>
    <mergeCell ref="O39:P39"/>
    <mergeCell ref="J40:K40"/>
    <mergeCell ref="O40:P40"/>
    <mergeCell ref="J35:K35"/>
    <mergeCell ref="O35:P35"/>
    <mergeCell ref="J36:K36"/>
    <mergeCell ref="O36:P36"/>
    <mergeCell ref="J37:K37"/>
    <mergeCell ref="O37:P37"/>
    <mergeCell ref="J44:K44"/>
    <mergeCell ref="O44:P44"/>
    <mergeCell ref="J45:K45"/>
    <mergeCell ref="O45:P45"/>
    <mergeCell ref="J46:K46"/>
    <mergeCell ref="O46:P46"/>
    <mergeCell ref="J41:K41"/>
    <mergeCell ref="O41:P41"/>
    <mergeCell ref="J42:K42"/>
    <mergeCell ref="O42:P42"/>
    <mergeCell ref="J43:K43"/>
    <mergeCell ref="O43:P43"/>
    <mergeCell ref="J50:K50"/>
    <mergeCell ref="O50:P50"/>
    <mergeCell ref="J51:K51"/>
    <mergeCell ref="O51:P51"/>
    <mergeCell ref="J52:K52"/>
    <mergeCell ref="O52:P52"/>
    <mergeCell ref="J47:K47"/>
    <mergeCell ref="O47:P47"/>
    <mergeCell ref="J48:K48"/>
    <mergeCell ref="O48:P48"/>
    <mergeCell ref="J49:K49"/>
    <mergeCell ref="O49:P49"/>
    <mergeCell ref="J56:K56"/>
    <mergeCell ref="O56:P56"/>
    <mergeCell ref="J57:K57"/>
    <mergeCell ref="O57:P57"/>
    <mergeCell ref="J53:K53"/>
    <mergeCell ref="O53:P53"/>
    <mergeCell ref="J54:K54"/>
    <mergeCell ref="O54:P54"/>
    <mergeCell ref="J55:K55"/>
    <mergeCell ref="O55:P55"/>
  </mergeCells>
  <conditionalFormatting sqref="O8:P57">
    <cfRule type="containsText" dxfId="103" priority="10" stopIfTrue="1" operator="containsText" text="Yes">
      <formula>NOT(ISERROR(SEARCH("Yes",O8)))</formula>
    </cfRule>
  </conditionalFormatting>
  <conditionalFormatting sqref="C8:C57">
    <cfRule type="cellIs" dxfId="102" priority="7" stopIfTrue="1" operator="greaterThan">
      <formula>1</formula>
    </cfRule>
  </conditionalFormatting>
  <conditionalFormatting sqref="M8:M57">
    <cfRule type="expression" dxfId="101" priority="3">
      <formula>M8&lt;&gt;L8</formula>
    </cfRule>
  </conditionalFormatting>
  <conditionalFormatting sqref="N8:N57">
    <cfRule type="expression" dxfId="100" priority="2">
      <formula>AA8="Enter"</formula>
    </cfRule>
  </conditionalFormatting>
  <conditionalFormatting sqref="N6:T6">
    <cfRule type="notContainsBlanks" dxfId="99" priority="1">
      <formula>LEN(TRIM(N6))&gt;0</formula>
    </cfRule>
  </conditionalFormatting>
  <dataValidations count="14">
    <dataValidation allowBlank="1" showInputMessage="1" errorTitle="Invalid Enrty" error="Please select from List!" sqref="U8:U57" xr:uid="{00000000-0002-0000-0200-000000000000}"/>
    <dataValidation type="list" allowBlank="1" showInputMessage="1" showErrorMessage="1" sqref="I8:I57" xr:uid="{00000000-0002-0000-0200-000001000000}">
      <formula1>"Face Fit, Recess Fit"</formula1>
    </dataValidation>
    <dataValidation type="list" errorStyle="warning" allowBlank="1" showInputMessage="1" showErrorMessage="1" errorTitle="Invalid Entry" error="This is not a standard colour._x000a_Please select from List!" sqref="J8:K57" xr:uid="{00000000-0002-0000-0200-000002000000}">
      <formula1>"NAM, ACT"</formula1>
    </dataValidation>
    <dataValidation type="list" allowBlank="1" showInputMessage="1" showErrorMessage="1" sqref="L8:M57" xr:uid="{00000000-0002-0000-0200-000003000000}">
      <formula1>"Left, Right"</formula1>
    </dataValidation>
    <dataValidation allowBlank="1" showInputMessage="1" showErrorMessage="1" errorTitle="Invalid Entry" error="Please select from List!" sqref="Q8:Q57 S8:S57" xr:uid="{00000000-0002-0000-0200-000004000000}"/>
    <dataValidation type="list" allowBlank="1" showInputMessage="1" showErrorMessage="1" errorTitle="Invalid Entry" error="Invalid Entry" sqref="E8:E57" xr:uid="{00000000-0002-0000-0200-000005000000}">
      <formula1>AlumColours</formula1>
    </dataValidation>
    <dataValidation type="list" allowBlank="1" showInputMessage="1" showErrorMessage="1" sqref="D8:D57" xr:uid="{00000000-0002-0000-0200-000006000000}">
      <formula1>"25mm Aluminium Blinds"</formula1>
    </dataValidation>
    <dataValidation type="list" allowBlank="1" showInputMessage="1" showErrorMessage="1" errorTitle="Invalid Entry" error="Invalid Entry" sqref="O8:P57" xr:uid="{00000000-0002-0000-0200-000007000000}">
      <formula1>"No, Yes"</formula1>
    </dataValidation>
    <dataValidation type="list" allowBlank="1" showInputMessage="1" showErrorMessage="1" errorTitle="Invalid Entry" error="Invalid Entry" sqref="H8:H57" xr:uid="{00000000-0002-0000-0200-000008000000}">
      <formula1>WindowType</formula1>
    </dataValidation>
    <dataValidation type="whole" errorStyle="warning" allowBlank="1" showInputMessage="1" showErrorMessage="1" errorTitle="Be Aware" error="Minimum width is 270mm._x000a_Maximum width is 2700mm. _x000a__x000a_Larger openings may require multiple Blinds._x000a__x000a_Blinds over approximately 7 SQM are able to be made but are not covered under warranty." sqref="F8:F57" xr:uid="{00000000-0002-0000-0200-000009000000}">
      <formula1>270</formula1>
      <formula2>2700</formula2>
    </dataValidation>
    <dataValidation type="whole" errorStyle="warning" allowBlank="1" showInputMessage="1" showErrorMessage="1" errorTitle="Be Aware" error="Maximum height/drop is 3600mm." sqref="G8:G57" xr:uid="{00000000-0002-0000-0200-00000A000000}">
      <formula1>1</formula1>
      <formula2>3600</formula2>
    </dataValidation>
    <dataValidation type="whole" errorStyle="warning" allowBlank="1" showInputMessage="1" showErrorMessage="1" errorTitle="Invalid Entry" error="Maximum Cut Out Width is 165mm." sqref="R8:R57 T8:T57" xr:uid="{00000000-0002-0000-0200-00000B000000}">
      <formula1>0</formula1>
      <formula2>165</formula2>
    </dataValidation>
    <dataValidation type="list" allowBlank="1" showInputMessage="1" showErrorMessage="1" errorTitle="Invalid Entry" error="Invalid Entry" sqref="N8:N57" xr:uid="{00000000-0002-0000-0200-00000C000000}">
      <formula1>HoldDown</formula1>
    </dataValidation>
    <dataValidation allowBlank="1" sqref="V1:W57" xr:uid="{00000000-0002-0000-0200-00000D000000}"/>
  </dataValidations>
  <printOptions horizontalCentered="1"/>
  <pageMargins left="0.23622047244094491" right="0.23622047244094491" top="0.23622047244094491" bottom="0.23622047244094491" header="0.19685039370078741" footer="0.15748031496062992"/>
  <pageSetup paperSize="9" scale="4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BZ58"/>
  <sheetViews>
    <sheetView zoomScale="85" zoomScaleNormal="85" zoomScaleSheetLayoutView="85" workbookViewId="0">
      <selection activeCell="B8" sqref="B8"/>
    </sheetView>
  </sheetViews>
  <sheetFormatPr defaultRowHeight="15"/>
  <cols>
    <col min="1" max="1" width="7.140625" style="54" customWidth="1"/>
    <col min="2" max="2" width="13.7109375" style="54" customWidth="1"/>
    <col min="3" max="3" width="8.42578125" style="54" customWidth="1"/>
    <col min="4" max="4" width="21.5703125" style="54" customWidth="1"/>
    <col min="5" max="5" width="19.28515625" style="54" customWidth="1"/>
    <col min="6" max="6" width="13" style="54" customWidth="1"/>
    <col min="7" max="7" width="12.42578125" style="54" customWidth="1"/>
    <col min="8" max="8" width="15.85546875" style="54" customWidth="1"/>
    <col min="9" max="9" width="11.42578125" style="54" customWidth="1"/>
    <col min="10" max="10" width="9.140625" style="54" customWidth="1"/>
    <col min="11" max="11" width="4.28515625" style="54" customWidth="1"/>
    <col min="12" max="13" width="13.7109375" style="54" customWidth="1"/>
    <col min="14" max="14" width="14" style="54" customWidth="1"/>
    <col min="15" max="16" width="16.5703125" style="54" customWidth="1"/>
    <col min="17" max="17" width="15.28515625" style="54" customWidth="1"/>
    <col min="18" max="18" width="15.140625" style="54" customWidth="1"/>
    <col min="19" max="19" width="12.28515625" style="54" customWidth="1"/>
    <col min="20" max="20" width="10.85546875" style="54" customWidth="1"/>
    <col min="21" max="21" width="9.28515625" style="54" customWidth="1"/>
    <col min="22" max="23" width="14.7109375" style="54" customWidth="1"/>
    <col min="24" max="24" width="19.7109375" style="54" customWidth="1"/>
    <col min="25" max="25" width="9.85546875" style="54" customWidth="1"/>
    <col min="26" max="26" width="40.42578125" style="54" customWidth="1"/>
    <col min="27" max="27" width="15.42578125" style="54" customWidth="1"/>
    <col min="28" max="28" width="44.5703125" style="65" customWidth="1"/>
    <col min="29" max="29" width="22.5703125" style="33" hidden="1" customWidth="1"/>
    <col min="30" max="31" width="9.140625" style="33" hidden="1" customWidth="1"/>
    <col min="32" max="32" width="14.7109375" style="172" hidden="1" customWidth="1"/>
    <col min="33" max="33" width="37.42578125" style="172" hidden="1" customWidth="1"/>
    <col min="34" max="35" width="23.28515625" style="172" hidden="1" customWidth="1"/>
    <col min="36" max="36" width="25.140625" style="33" hidden="1" customWidth="1"/>
    <col min="37" max="38" width="9.140625" style="33" hidden="1" customWidth="1"/>
    <col min="39" max="39" width="21.85546875" style="33" hidden="1" customWidth="1"/>
    <col min="40" max="40" width="9.140625" style="33" hidden="1" customWidth="1"/>
    <col min="41" max="41" width="24" style="33" hidden="1" customWidth="1"/>
    <col min="42" max="42" width="9.140625" style="33" hidden="1" customWidth="1"/>
    <col min="43" max="43" width="42.7109375" style="33" hidden="1" customWidth="1"/>
    <col min="44" max="52" width="9.140625" style="33" hidden="1" customWidth="1"/>
    <col min="53" max="53" width="14.7109375" style="33" hidden="1" customWidth="1"/>
    <col min="54" max="55" width="15.140625" style="172" hidden="1" customWidth="1"/>
    <col min="56" max="56" width="21.42578125" style="172" hidden="1" customWidth="1"/>
    <col min="57" max="57" width="9.140625" style="33" hidden="1" customWidth="1"/>
    <col min="58" max="58" width="13.85546875" style="33" hidden="1" customWidth="1"/>
    <col min="59" max="59" width="45" style="172" hidden="1" customWidth="1"/>
    <col min="60" max="60" width="53" style="33" hidden="1" customWidth="1"/>
    <col min="61" max="61" width="33.5703125" style="33" hidden="1" customWidth="1"/>
    <col min="62" max="62" width="28.85546875" style="33" hidden="1" customWidth="1"/>
    <col min="63" max="63" width="35.140625" style="33" hidden="1" customWidth="1"/>
    <col min="64" max="64" width="24.42578125" style="33" hidden="1" customWidth="1"/>
    <col min="65" max="78" width="9.140625" style="33" hidden="1" customWidth="1"/>
    <col min="79" max="16384" width="9.140625" style="33"/>
  </cols>
  <sheetData>
    <row r="1" spans="1:64" ht="26.25">
      <c r="A1" s="114"/>
      <c r="B1" s="115"/>
      <c r="C1" s="115"/>
      <c r="D1" s="115"/>
      <c r="E1" s="171"/>
      <c r="F1" s="115"/>
      <c r="G1" s="115"/>
      <c r="H1" s="115"/>
      <c r="I1" s="115"/>
      <c r="J1" s="121"/>
      <c r="K1" s="58"/>
      <c r="L1" s="538" t="s">
        <v>0</v>
      </c>
      <c r="M1" s="538"/>
      <c r="N1" s="557">
        <f>Summary!D3</f>
        <v>0</v>
      </c>
      <c r="O1" s="558"/>
      <c r="P1" s="558"/>
      <c r="Q1" s="558"/>
      <c r="R1" s="558"/>
      <c r="S1" s="558"/>
      <c r="T1" s="558"/>
      <c r="U1" s="558"/>
      <c r="V1" s="558"/>
      <c r="W1" s="558"/>
      <c r="X1" s="558"/>
      <c r="Y1" s="558"/>
      <c r="Z1" s="260"/>
      <c r="AA1" s="261"/>
      <c r="AB1" s="258"/>
    </row>
    <row r="2" spans="1:64" ht="19.5">
      <c r="A2" s="28"/>
      <c r="B2" s="29"/>
      <c r="C2" s="29"/>
      <c r="F2" s="571" t="s">
        <v>175</v>
      </c>
      <c r="G2" s="571"/>
      <c r="H2" s="571"/>
      <c r="I2" s="571"/>
      <c r="J2" s="572"/>
      <c r="K2" s="60"/>
      <c r="L2" s="538" t="s">
        <v>141</v>
      </c>
      <c r="M2" s="538"/>
      <c r="N2" s="561">
        <f>Summary!D6</f>
        <v>0</v>
      </c>
      <c r="O2" s="562"/>
      <c r="P2" s="562"/>
      <c r="Q2" s="562"/>
      <c r="R2" s="562"/>
      <c r="S2" s="562"/>
      <c r="T2" s="562"/>
      <c r="U2" s="562"/>
      <c r="V2" s="562"/>
      <c r="W2" s="562"/>
      <c r="X2" s="562"/>
      <c r="Y2" s="562"/>
      <c r="Z2" s="262"/>
      <c r="AA2" s="261"/>
      <c r="AB2" s="258"/>
    </row>
    <row r="3" spans="1:64" ht="17.25" customHeight="1">
      <c r="A3" s="7"/>
      <c r="B3" s="8"/>
      <c r="C3" s="8"/>
      <c r="D3" s="116"/>
      <c r="F3" s="116"/>
      <c r="G3" s="116"/>
      <c r="H3" s="116"/>
      <c r="I3" s="116"/>
      <c r="J3" s="81"/>
      <c r="K3" s="58"/>
      <c r="L3" s="538" t="s">
        <v>143</v>
      </c>
      <c r="M3" s="538"/>
      <c r="N3" s="549">
        <f>Summary!D4</f>
        <v>0</v>
      </c>
      <c r="O3" s="550"/>
      <c r="P3" s="550"/>
      <c r="Q3" s="550"/>
      <c r="R3" s="550"/>
      <c r="S3" s="550"/>
      <c r="T3" s="550"/>
      <c r="U3" s="550"/>
      <c r="V3" s="550"/>
      <c r="W3" s="550"/>
      <c r="X3" s="550"/>
      <c r="Y3" s="551"/>
      <c r="Z3" s="262"/>
      <c r="AA3" s="62"/>
      <c r="AB3" s="63"/>
    </row>
    <row r="4" spans="1:64" ht="17.25" customHeight="1">
      <c r="A4" s="563" t="s">
        <v>453</v>
      </c>
      <c r="B4" s="563"/>
      <c r="C4" s="563"/>
      <c r="D4" s="573"/>
      <c r="E4" s="573"/>
      <c r="F4" s="564" t="s">
        <v>452</v>
      </c>
      <c r="G4" s="565"/>
      <c r="H4" s="566"/>
      <c r="I4" s="574"/>
      <c r="J4" s="567"/>
      <c r="K4" s="60"/>
      <c r="L4" s="538" t="s">
        <v>978</v>
      </c>
      <c r="M4" s="538"/>
      <c r="N4" s="568">
        <f>Summary!D7</f>
        <v>0</v>
      </c>
      <c r="O4" s="569"/>
      <c r="P4" s="569"/>
      <c r="Q4" s="569"/>
      <c r="R4" s="569"/>
      <c r="S4" s="569"/>
      <c r="T4" s="569"/>
      <c r="U4" s="569"/>
      <c r="V4" s="569"/>
      <c r="W4" s="569"/>
      <c r="X4" s="569"/>
      <c r="Y4" s="570"/>
      <c r="Z4" s="262"/>
      <c r="AA4" s="261"/>
      <c r="AB4" s="259"/>
    </row>
    <row r="5" spans="1:64" ht="17.25" customHeight="1">
      <c r="A5" s="96" t="s">
        <v>415</v>
      </c>
      <c r="B5" s="97"/>
      <c r="C5" s="97"/>
      <c r="D5" s="43" t="s">
        <v>210</v>
      </c>
      <c r="E5" s="118"/>
      <c r="F5" s="43"/>
      <c r="G5" s="117"/>
      <c r="H5" s="117"/>
      <c r="I5" s="117"/>
      <c r="J5" s="105"/>
      <c r="K5" s="60"/>
      <c r="L5" s="538" t="s">
        <v>144</v>
      </c>
      <c r="M5" s="538"/>
      <c r="N5" s="539">
        <f>Summary!D8</f>
        <v>0</v>
      </c>
      <c r="O5" s="540"/>
      <c r="P5" s="540"/>
      <c r="Q5" s="540"/>
      <c r="R5" s="540"/>
      <c r="S5" s="540"/>
      <c r="T5" s="540"/>
      <c r="U5" s="540"/>
      <c r="V5" s="540"/>
      <c r="W5" s="540"/>
      <c r="X5" s="540"/>
      <c r="Y5" s="540"/>
      <c r="Z5" s="263"/>
      <c r="AA5" s="261"/>
      <c r="AB5" s="259"/>
    </row>
    <row r="6" spans="1:64" ht="15.75" thickBot="1">
      <c r="A6" s="584" t="s">
        <v>723</v>
      </c>
      <c r="B6" s="585"/>
      <c r="C6" s="585"/>
      <c r="D6" s="585"/>
      <c r="E6" s="585"/>
      <c r="F6" s="585"/>
      <c r="G6" s="585"/>
      <c r="H6" s="585"/>
      <c r="I6" s="585"/>
      <c r="J6" s="586"/>
      <c r="L6" s="545" t="s">
        <v>654</v>
      </c>
      <c r="M6" s="545"/>
      <c r="N6" s="581" t="str">
        <f>AG18</f>
        <v/>
      </c>
      <c r="O6" s="582"/>
      <c r="P6" s="582"/>
      <c r="Q6" s="582"/>
      <c r="R6" s="582"/>
      <c r="S6" s="582"/>
      <c r="T6" s="582"/>
      <c r="U6" s="582"/>
      <c r="V6" s="582"/>
      <c r="W6" s="582"/>
      <c r="X6" s="582"/>
      <c r="Y6" s="583"/>
    </row>
    <row r="7" spans="1:64" ht="47.25" customHeight="1" thickTop="1" thickBot="1">
      <c r="A7" s="66" t="s">
        <v>146</v>
      </c>
      <c r="B7" s="67" t="s">
        <v>147</v>
      </c>
      <c r="C7" s="68" t="s">
        <v>164</v>
      </c>
      <c r="D7" s="68" t="s">
        <v>181</v>
      </c>
      <c r="E7" s="68" t="s">
        <v>204</v>
      </c>
      <c r="F7" s="67" t="s">
        <v>148</v>
      </c>
      <c r="G7" s="68" t="s">
        <v>149</v>
      </c>
      <c r="H7" s="69" t="s">
        <v>14</v>
      </c>
      <c r="I7" s="69" t="s">
        <v>165</v>
      </c>
      <c r="J7" s="541" t="s">
        <v>13</v>
      </c>
      <c r="K7" s="542"/>
      <c r="L7" s="67" t="s">
        <v>182</v>
      </c>
      <c r="M7" s="67" t="s">
        <v>166</v>
      </c>
      <c r="N7" s="67" t="s">
        <v>209</v>
      </c>
      <c r="O7" s="579" t="s">
        <v>1536</v>
      </c>
      <c r="P7" s="580"/>
      <c r="Q7" s="68" t="s">
        <v>167</v>
      </c>
      <c r="R7" s="67" t="s">
        <v>168</v>
      </c>
      <c r="S7" s="67" t="s">
        <v>189</v>
      </c>
      <c r="T7" s="67" t="s">
        <v>190</v>
      </c>
      <c r="U7" s="67" t="s">
        <v>186</v>
      </c>
      <c r="V7" s="67" t="s">
        <v>205</v>
      </c>
      <c r="W7" s="67" t="s">
        <v>169</v>
      </c>
      <c r="X7" s="67" t="s">
        <v>841</v>
      </c>
      <c r="Y7" s="270" t="s">
        <v>222</v>
      </c>
      <c r="Z7" s="76" t="s">
        <v>203</v>
      </c>
      <c r="AA7" s="231"/>
      <c r="AB7" s="231"/>
      <c r="AC7" s="33" t="s">
        <v>1072</v>
      </c>
      <c r="AD7" s="33" t="s">
        <v>1170</v>
      </c>
      <c r="AF7" s="172" t="s">
        <v>1171</v>
      </c>
      <c r="AI7" s="172" t="s">
        <v>841</v>
      </c>
      <c r="AJ7" s="33" t="s">
        <v>1129</v>
      </c>
      <c r="AM7" s="33" t="s">
        <v>1151</v>
      </c>
      <c r="AO7" s="33" t="s">
        <v>186</v>
      </c>
      <c r="AQ7" s="33" t="s">
        <v>169</v>
      </c>
      <c r="BA7" s="67" t="s">
        <v>221</v>
      </c>
      <c r="BB7" s="172" t="s">
        <v>864</v>
      </c>
      <c r="BC7" s="172" t="s">
        <v>865</v>
      </c>
      <c r="BD7" s="172" t="s">
        <v>866</v>
      </c>
      <c r="BG7" s="172" t="s">
        <v>1436</v>
      </c>
      <c r="BH7" s="33" t="s">
        <v>168</v>
      </c>
      <c r="BI7" s="33" t="s">
        <v>1439</v>
      </c>
      <c r="BJ7" s="33" t="s">
        <v>1446</v>
      </c>
      <c r="BK7" s="33" t="s">
        <v>1447</v>
      </c>
      <c r="BL7" s="33" t="s">
        <v>1448</v>
      </c>
    </row>
    <row r="8" spans="1:64" ht="30" customHeight="1" thickTop="1" thickBot="1">
      <c r="A8" s="50">
        <v>1</v>
      </c>
      <c r="B8" s="9"/>
      <c r="C8" s="23"/>
      <c r="D8" s="25"/>
      <c r="E8" s="11"/>
      <c r="F8" s="10"/>
      <c r="G8" s="10"/>
      <c r="H8" s="24"/>
      <c r="I8" s="24"/>
      <c r="J8" s="531"/>
      <c r="K8" s="532"/>
      <c r="L8" s="11"/>
      <c r="M8" s="272"/>
      <c r="N8" s="11"/>
      <c r="O8" s="575"/>
      <c r="P8" s="576"/>
      <c r="Q8" s="25"/>
      <c r="R8" s="25"/>
      <c r="S8" s="40"/>
      <c r="T8" s="25"/>
      <c r="U8" s="25"/>
      <c r="V8" s="25"/>
      <c r="W8" s="25"/>
      <c r="X8" s="11"/>
      <c r="Y8" s="26"/>
      <c r="Z8" s="174"/>
      <c r="AA8" s="229"/>
      <c r="AB8" s="230"/>
      <c r="AC8" s="33" t="e">
        <f>IF(AND(AD8="Yes",U8=""),"Enter","OK")</f>
        <v>#N/A</v>
      </c>
      <c r="AD8" s="33" t="e">
        <f>VLOOKUP(S8,Data!$QH$2:$QI$4,2,FALSE)</f>
        <v>#N/A</v>
      </c>
      <c r="AF8" s="172" t="e">
        <f>IF(AND(AD8="Yes",T8=""),"Enter","OK")</f>
        <v>#N/A</v>
      </c>
      <c r="AG8" s="172" t="str">
        <f>IF(COUNTIF($H$8:$H$57,Data!KF3),Data!KG3,"")</f>
        <v/>
      </c>
      <c r="AH8" s="172" t="str">
        <f>IF(SUM(--ISNUMBER(SEARCH({"Bay","Corner"}, M8:M17))),"Yes","No")</f>
        <v>No</v>
      </c>
      <c r="AI8" s="172" t="b">
        <f>IF(W8=Data!$KK$2,Data!$KM$1,IF(W8=Data!$KK$3,Data!$KN$1,IF(W8=Data!$KK$4,Data!$KP$1,IF(W8=Data!$KK$5,Data!$KQ$1))))</f>
        <v>0</v>
      </c>
      <c r="AJ8" s="33" t="str">
        <f>IF(D8=Data!$W$10,Data!$QJ$1,Data!$QK$1)</f>
        <v>RollerControl</v>
      </c>
      <c r="AM8" s="33" t="b">
        <f>IF(S8=Data!$PX$2,Data!$PZ$1,IF(S8=Data!$PX$3,Data!$PY$1,IF(S8=Data!$PX$4,Data!$QA$1)))</f>
        <v>0</v>
      </c>
      <c r="AO8" s="33" t="b">
        <f>IF(S8=Data!$PX$3,Data!$QB$1,IF(S8=Data!$PX$2,Data!$QC$1,IF(S8=Data!$PX$4,Data!$QD$1)))</f>
        <v>0</v>
      </c>
      <c r="AQ8" s="33" t="str">
        <f>IF(D8=Data!$W$3,Data!$QF$1,IF(D8=Data!$W$4,Data!$QF$1,IF(D8=Data!$W$5,Data!$QF$1,IF(D8=Data!$W$6,Data!$QF$1,IF(D8=Data!$W$7,Data!$QF$1,IF(D8=Data!$W$8,Data!$QF$1,IF(D8=Data!$W$9,Data!$QF$1,IF(D8=Data!$W$10,Data!$QE$1,IF(D8=Data!$W$11,Data!$QF$1,IF(D8=Data!$W$12,Data!$QF$1,IF(D8=Data!$W$13,Data!$QF$1,IF(D8=Data!$W$14,Data!$QF$1,IF(D8=Data!$W$15,Data!$QF$1,IF(D8=Data!$W$16,Data!$QF$1))))))))))))))</f>
        <v>RollerBracketType2</v>
      </c>
      <c r="BA8" s="40" t="str">
        <f>IF(AND(F8&lt;2130, OR(G8&lt;2100)),Data!$KS$1,Data!$KT$1)</f>
        <v>Small_Tube</v>
      </c>
      <c r="BB8" s="172" t="e">
        <f>MATCH(W8,Data!$LA$1:$LD$1,0)</f>
        <v>#N/A</v>
      </c>
      <c r="BC8" s="172">
        <f>MATCH('Roller Blinds'!BA8,Data!$KZ$2:$KZ$3,0)</f>
        <v>1</v>
      </c>
      <c r="BD8" s="172" t="e">
        <f>INDEX(Data!$LA$2:$LD$3,'Roller Blinds'!BC8,'Roller Blinds'!BB8)</f>
        <v>#N/A</v>
      </c>
      <c r="BG8" s="172" t="b">
        <f>IF(O8=Data!$QK$2,Data!$QL$1,IF(O8=Data!$QK$3,Data!$QM$1,IF(O8=Data!$QK$4,Data!$QN$1,IF(O8=Data!$QK$5,Data!$QO$1,IF(O8=Data!$QK$6,Data!$QP$1,IF(O8=Data!$QK$7,Data!$QQ$1,IF(O8=Data!$QK$8,Data!$QR$1,IF(O8=Data!$QK$9,Data!$QS$1, IF(O8=Data!$QK$10,Data!$QV$1, IF(O8=Data!$QK$11,Data!$QW$1))))))))))</f>
        <v>0</v>
      </c>
      <c r="BH8" s="33" t="b">
        <f>IF(O8=Data!$QK$2,Data!$QL$17,IF(O8=Data!$QK$3,Data!$QM$17,IF(O8=Data!$QK$4,Data!$QN$17,IF(O8=Data!$QK$5,Data!$QO$17,IF(O8=Data!$QK$6,Data!$QP$17,IF(O8=Data!$QK$7,Data!$QQ$17,IF(O8=Data!$QK$8,Data!$QR$17,IF(O8=Data!$QK$9,Data!$QS$17,IF(O8=Data!$QK$10,Data!$QV$17,IF(O8=Data!$QK$11,Data!$QW$17))))))))))</f>
        <v>0</v>
      </c>
      <c r="BI8" s="33" t="e">
        <f>VLOOKUP(O8,Data!$PU$13:$PV$22,2,FALSE)</f>
        <v>#N/A</v>
      </c>
      <c r="BJ8" s="33" t="e">
        <f>MATCH('Roller Blinds'!D8,Data!$AAK$2:$AAK$15)</f>
        <v>#N/A</v>
      </c>
      <c r="BK8" s="33" t="e">
        <f>MATCH(L8,Data!$AAL$1:$AAM$1)</f>
        <v>#N/A</v>
      </c>
      <c r="BL8" s="33" t="e">
        <f>INDEX(Data!$AAL$2:$AAM$15,BJ8,BK8)</f>
        <v>#N/A</v>
      </c>
    </row>
    <row r="9" spans="1:64" ht="30" customHeight="1" thickTop="1" thickBot="1">
      <c r="A9" s="51">
        <v>2</v>
      </c>
      <c r="B9" s="13"/>
      <c r="C9" s="27"/>
      <c r="D9" s="13"/>
      <c r="E9" s="15"/>
      <c r="F9" s="10"/>
      <c r="G9" s="10"/>
      <c r="H9" s="14"/>
      <c r="I9" s="14"/>
      <c r="J9" s="525"/>
      <c r="K9" s="526"/>
      <c r="L9" s="15"/>
      <c r="M9" s="15"/>
      <c r="N9" s="15"/>
      <c r="O9" s="577"/>
      <c r="P9" s="578"/>
      <c r="Q9" s="13"/>
      <c r="R9" s="13"/>
      <c r="S9" s="13"/>
      <c r="T9" s="13"/>
      <c r="U9" s="13"/>
      <c r="V9" s="13"/>
      <c r="W9" s="13"/>
      <c r="X9" s="15"/>
      <c r="Y9" s="16"/>
      <c r="Z9" s="175"/>
      <c r="AA9" s="229"/>
      <c r="AB9" s="230"/>
      <c r="AC9" s="33" t="e">
        <f t="shared" ref="AC9:AC57" si="0">IF(AND(AD9="Yes",U9=""),"Enter","OK")</f>
        <v>#N/A</v>
      </c>
      <c r="AD9" s="33" t="e">
        <f>VLOOKUP(S9,Data!$QH$2:$QI$4,2,FALSE)</f>
        <v>#N/A</v>
      </c>
      <c r="AF9" s="172" t="e">
        <f t="shared" ref="AF9:AF57" si="1">IF(AND(AD9="Yes",T9=""),"Enter","OK")</f>
        <v>#N/A</v>
      </c>
      <c r="AG9" s="172" t="str">
        <f>IF(COUNTIF($H$8:$H$57,Data!KF4),Data!KG4,"")</f>
        <v/>
      </c>
      <c r="AI9" s="172" t="b">
        <f>IF(W9=Data!$KK$2,Data!$KM$1,IF(W9=Data!$KK$3,Data!$KN$1,IF(W9=Data!$KK$4,Data!$KP$1,IF(W9=Data!$KK$5,Data!$KQ$1))))</f>
        <v>0</v>
      </c>
      <c r="AJ9" s="33" t="str">
        <f>IF(D9=Data!$W$10,Data!$QJ$1,Data!$QK$1)</f>
        <v>RollerControl</v>
      </c>
      <c r="AM9" s="33" t="b">
        <f>IF(S9=Data!$PX$2,Data!$PZ$1,IF(S9=Data!$PX$3,Data!$PY$1,IF(S9=Data!$PX$4,Data!$QA$1)))</f>
        <v>0</v>
      </c>
      <c r="AO9" s="33" t="b">
        <f>IF(S9=Data!$PX$3,Data!$QB$1,IF(S9=Data!$PX$2,Data!$QC$1,IF(S9=Data!$PX$4,Data!$QD$1)))</f>
        <v>0</v>
      </c>
      <c r="AQ9" s="33" t="str">
        <f>IF(D9=Data!$W$3,Data!$QF$1,IF(D9=Data!$W$4,Data!$QF$1,IF(D9=Data!$W$5,Data!$QF$1,IF(D9=Data!$W$6,Data!$QF$1,IF(D9=Data!$W$7,Data!$QF$1,IF(D9=Data!$W$8,Data!$QF$1,IF(D9=Data!$W$9,Data!$QF$1,IF(D9=Data!$W$10,Data!$QE$1,IF(D9=Data!$W$11,Data!$QF$1,IF(D9=Data!$W$12,Data!$QF$1,IF(D9=Data!$W$13,Data!$QF$1,IF(D9=Data!$W$14,Data!$QF$1,IF(D9=Data!$W$15,Data!$QF$1,IF(D9=Data!$W$16,Data!$QF$1))))))))))))))</f>
        <v>RollerBracketType2</v>
      </c>
      <c r="BA9" s="40" t="str">
        <f>IF(AND(F9&lt;2130, OR(G9&lt;2100)),Data!$KS$1,Data!$KT$1)</f>
        <v>Small_Tube</v>
      </c>
      <c r="BB9" s="172" t="e">
        <f>MATCH(W9,Data!$LA$1:$LD$1,0)</f>
        <v>#N/A</v>
      </c>
      <c r="BC9" s="172">
        <f>MATCH('Roller Blinds'!BA9,Data!$KZ$2:$KZ$3,0)</f>
        <v>1</v>
      </c>
      <c r="BD9" s="172" t="e">
        <f>INDEX(Data!$LA$2:$LD$3,'Roller Blinds'!BC9,'Roller Blinds'!BB9)</f>
        <v>#N/A</v>
      </c>
      <c r="BG9" s="172" t="b">
        <f>IF(O9=Data!$QK$2,Data!$QL$1,IF(O9=Data!$QK$3,Data!$QM$1,IF(O9=Data!$QK$4,Data!$QN$1,IF(O9=Data!$QK$5,Data!$QO$1,IF(O9=Data!$QK$6,Data!$QP$1,IF(O9=Data!$QK$7,Data!$QQ$1,IF(O9=Data!$QK$8,Data!$QR$1,IF(O9=Data!$QK$9,Data!$QS$1, IF(O9=Data!$QK$10,Data!$QV$1, IF(O9=Data!$QK$11,Data!$QW$1))))))))))</f>
        <v>0</v>
      </c>
      <c r="BH9" s="33" t="b">
        <f>IF(O9=Data!$QK$2,Data!$QL$17,IF(O9=Data!$QK$3,Data!$QM$17,IF(O9=Data!$QK$4,Data!$QN$17,IF(O9=Data!$QK$5,Data!$QO$17,IF(O9=Data!$QK$6,Data!$QP$17,IF(O9=Data!$QK$7,Data!$QQ$17,IF(O9=Data!$QK$8,Data!$QR$17,IF(O9=Data!$QK$9,Data!$QS$17,IF(O9=Data!$QK$10,Data!$QV$17,IF(O9=Data!$QK$11,Data!$QW$17))))))))))</f>
        <v>0</v>
      </c>
      <c r="BI9" s="33" t="e">
        <f>VLOOKUP(O9,Data!$PU$13:$PV$22,2,FALSE)</f>
        <v>#N/A</v>
      </c>
      <c r="BJ9" s="33" t="e">
        <f>MATCH('Roller Blinds'!D9,Data!$AAK$2:$AAK$15)</f>
        <v>#N/A</v>
      </c>
      <c r="BK9" s="33" t="e">
        <f>MATCH(L9,Data!$AAL$1:$AAM$1)</f>
        <v>#N/A</v>
      </c>
      <c r="BL9" s="33" t="e">
        <f>INDEX(Data!$AAL$2:$AAM$15,BJ9,BK9)</f>
        <v>#N/A</v>
      </c>
    </row>
    <row r="10" spans="1:64" ht="30" customHeight="1" thickTop="1" thickBot="1">
      <c r="A10" s="52">
        <v>3</v>
      </c>
      <c r="B10" s="17"/>
      <c r="C10" s="17"/>
      <c r="D10" s="13"/>
      <c r="E10" s="15"/>
      <c r="F10" s="10"/>
      <c r="G10" s="10"/>
      <c r="H10" s="14"/>
      <c r="I10" s="14"/>
      <c r="J10" s="525"/>
      <c r="K10" s="526"/>
      <c r="L10" s="15"/>
      <c r="M10" s="15"/>
      <c r="N10" s="15"/>
      <c r="O10" s="577"/>
      <c r="P10" s="578"/>
      <c r="Q10" s="13"/>
      <c r="R10" s="13"/>
      <c r="S10" s="13"/>
      <c r="T10" s="13"/>
      <c r="U10" s="13"/>
      <c r="V10" s="13"/>
      <c r="W10" s="13"/>
      <c r="X10" s="15"/>
      <c r="Y10" s="16"/>
      <c r="Z10" s="175"/>
      <c r="AA10" s="229"/>
      <c r="AB10" s="230"/>
      <c r="AC10" s="33" t="e">
        <f t="shared" si="0"/>
        <v>#N/A</v>
      </c>
      <c r="AD10" s="33" t="e">
        <f>VLOOKUP(S10,Data!$QH$2:$QI$4,2,FALSE)</f>
        <v>#N/A</v>
      </c>
      <c r="AF10" s="172" t="e">
        <f t="shared" si="1"/>
        <v>#N/A</v>
      </c>
      <c r="AG10" s="172" t="str">
        <f>IF(COUNTIF($H$8:$H$57,Data!KF5),Data!KG5,"")</f>
        <v/>
      </c>
      <c r="AI10" s="172" t="b">
        <f>IF(W10=Data!$KK$2,Data!$KM$1,IF(W10=Data!$KK$3,Data!$KN$1,IF(W10=Data!$KK$4,Data!$KP$1,IF(W10=Data!$KK$5,Data!$KQ$1))))</f>
        <v>0</v>
      </c>
      <c r="AJ10" s="33" t="str">
        <f>IF(D10=Data!$W$10,Data!$QJ$1,Data!$QK$1)</f>
        <v>RollerControl</v>
      </c>
      <c r="AM10" s="33" t="b">
        <f>IF(S10=Data!$PX$2,Data!$PZ$1,IF(S10=Data!$PX$3,Data!$PY$1,IF(S10=Data!$PX$4,Data!$QA$1)))</f>
        <v>0</v>
      </c>
      <c r="AO10" s="33" t="b">
        <f>IF(S10=Data!$PX$3,Data!$QB$1,IF(S10=Data!$PX$2,Data!$QC$1,IF(S10=Data!$PX$4,Data!$QD$1)))</f>
        <v>0</v>
      </c>
      <c r="AQ10" s="33" t="str">
        <f>IF(D10=Data!$W$3,Data!$QF$1,IF(D10=Data!$W$4,Data!$QF$1,IF(D10=Data!$W$5,Data!$QF$1,IF(D10=Data!$W$6,Data!$QF$1,IF(D10=Data!$W$7,Data!$QF$1,IF(D10=Data!$W$8,Data!$QF$1,IF(D10=Data!$W$9,Data!$QF$1,IF(D10=Data!$W$10,Data!$QE$1,IF(D10=Data!$W$11,Data!$QF$1,IF(D10=Data!$W$12,Data!$QF$1,IF(D10=Data!$W$13,Data!$QF$1,IF(D10=Data!$W$14,Data!$QF$1,IF(D10=Data!$W$15,Data!$QF$1,IF(D10=Data!$W$16,Data!$QF$1))))))))))))))</f>
        <v>RollerBracketType2</v>
      </c>
      <c r="BA10" s="40" t="str">
        <f>IF(AND(F10&lt;2130, OR(G10&lt;2100)),Data!$KS$1,Data!$KT$1)</f>
        <v>Small_Tube</v>
      </c>
      <c r="BB10" s="172" t="e">
        <f>MATCH(W10,Data!$LA$1:$LD$1,0)</f>
        <v>#N/A</v>
      </c>
      <c r="BC10" s="172">
        <f>MATCH('Roller Blinds'!BA10,Data!$KZ$2:$KZ$3,0)</f>
        <v>1</v>
      </c>
      <c r="BD10" s="172" t="e">
        <f>INDEX(Data!$LA$2:$LD$3,'Roller Blinds'!BC10,'Roller Blinds'!BB10)</f>
        <v>#N/A</v>
      </c>
      <c r="BG10" s="172" t="b">
        <f>IF(O10=Data!$QK$2,Data!$QL$1,IF(O10=Data!$QK$3,Data!$QM$1,IF(O10=Data!$QK$4,Data!$QN$1,IF(O10=Data!$QK$5,Data!$QO$1,IF(O10=Data!$QK$6,Data!$QP$1,IF(O10=Data!$QK$7,Data!$QQ$1,IF(O10=Data!$QK$8,Data!$QR$1,IF(O10=Data!$QK$9,Data!$QS$1, IF(O10=Data!$QK$10,Data!$QV$1, IF(O10=Data!$QK$11,Data!$QW$1))))))))))</f>
        <v>0</v>
      </c>
      <c r="BH10" s="33" t="b">
        <f>IF(O10=Data!$QK$2,Data!$QL$17,IF(O10=Data!$QK$3,Data!$QM$17,IF(O10=Data!$QK$4,Data!$QN$17,IF(O10=Data!$QK$5,Data!$QO$17,IF(O10=Data!$QK$6,Data!$QP$17,IF(O10=Data!$QK$7,Data!$QQ$17,IF(O10=Data!$QK$8,Data!$QR$17,IF(O10=Data!$QK$9,Data!$QS$17,IF(O10=Data!$QK$10,Data!$QV$17,IF(O10=Data!$QK$11,Data!$QW$17))))))))))</f>
        <v>0</v>
      </c>
      <c r="BI10" s="33" t="e">
        <f>VLOOKUP(O10,Data!$PU$13:$PV$22,2,FALSE)</f>
        <v>#N/A</v>
      </c>
      <c r="BJ10" s="33" t="e">
        <f>MATCH('Roller Blinds'!D10,Data!$AAK$2:$AAK$15)</f>
        <v>#N/A</v>
      </c>
      <c r="BK10" s="33" t="e">
        <f>MATCH(L10,Data!$AAL$1:$AAM$1)</f>
        <v>#N/A</v>
      </c>
      <c r="BL10" s="33" t="e">
        <f>INDEX(Data!$AAL$2:$AAM$15,BJ10,BK10)</f>
        <v>#N/A</v>
      </c>
    </row>
    <row r="11" spans="1:64" ht="30" customHeight="1" thickTop="1" thickBot="1">
      <c r="A11" s="52">
        <v>4</v>
      </c>
      <c r="B11" s="17"/>
      <c r="C11" s="17"/>
      <c r="D11" s="13"/>
      <c r="E11" s="15"/>
      <c r="F11" s="10"/>
      <c r="G11" s="10"/>
      <c r="H11" s="14"/>
      <c r="I11" s="14"/>
      <c r="J11" s="525"/>
      <c r="K11" s="526"/>
      <c r="L11" s="15"/>
      <c r="M11" s="15"/>
      <c r="N11" s="15"/>
      <c r="O11" s="577"/>
      <c r="P11" s="578"/>
      <c r="Q11" s="13"/>
      <c r="R11" s="13"/>
      <c r="S11" s="13"/>
      <c r="T11" s="13"/>
      <c r="U11" s="13"/>
      <c r="V11" s="13"/>
      <c r="W11" s="13"/>
      <c r="X11" s="15"/>
      <c r="Y11" s="16"/>
      <c r="Z11" s="175"/>
      <c r="AA11" s="229"/>
      <c r="AB11" s="230"/>
      <c r="AC11" s="33" t="e">
        <f t="shared" si="0"/>
        <v>#N/A</v>
      </c>
      <c r="AD11" s="33" t="e">
        <f>VLOOKUP(S11,Data!$QH$2:$QI$4,2,FALSE)</f>
        <v>#N/A</v>
      </c>
      <c r="AF11" s="172" t="e">
        <f t="shared" si="1"/>
        <v>#N/A</v>
      </c>
      <c r="AG11" s="172" t="str">
        <f>IF(COUNTIF($H$8:$H$57,Data!KF6),Data!KG6,"")</f>
        <v/>
      </c>
      <c r="AI11" s="172" t="b">
        <f>IF(W11=Data!$KK$2,Data!$KM$1,IF(W11=Data!$KK$3,Data!$KN$1,IF(W11=Data!$KK$4,Data!$KP$1,IF(W11=Data!$KK$5,Data!$KQ$1))))</f>
        <v>0</v>
      </c>
      <c r="AJ11" s="33" t="str">
        <f>IF(D11=Data!$W$10,Data!$QJ$1,Data!$QK$1)</f>
        <v>RollerControl</v>
      </c>
      <c r="AM11" s="33" t="b">
        <f>IF(S11=Data!$PX$2,Data!$PZ$1,IF(S11=Data!$PX$3,Data!$PY$1,IF(S11=Data!$PX$4,Data!$QA$1)))</f>
        <v>0</v>
      </c>
      <c r="AO11" s="33" t="b">
        <f>IF(S11=Data!$PX$3,Data!$QB$1,IF(S11=Data!$PX$2,Data!$QC$1,IF(S11=Data!$PX$4,Data!$QD$1)))</f>
        <v>0</v>
      </c>
      <c r="AQ11" s="33" t="str">
        <f>IF(D11=Data!$W$3,Data!$QF$1,IF(D11=Data!$W$4,Data!$QF$1,IF(D11=Data!$W$5,Data!$QF$1,IF(D11=Data!$W$6,Data!$QF$1,IF(D11=Data!$W$7,Data!$QF$1,IF(D11=Data!$W$8,Data!$QF$1,IF(D11=Data!$W$9,Data!$QF$1,IF(D11=Data!$W$10,Data!$QE$1,IF(D11=Data!$W$11,Data!$QF$1,IF(D11=Data!$W$12,Data!$QF$1,IF(D11=Data!$W$13,Data!$QF$1,IF(D11=Data!$W$14,Data!$QF$1,IF(D11=Data!$W$15,Data!$QF$1,IF(D11=Data!$W$16,Data!$QF$1))))))))))))))</f>
        <v>RollerBracketType2</v>
      </c>
      <c r="BA11" s="40" t="str">
        <f>IF(AND(F11&lt;2130, OR(G11&lt;2100)),Data!$KS$1,Data!$KT$1)</f>
        <v>Small_Tube</v>
      </c>
      <c r="BB11" s="172" t="e">
        <f>MATCH(W11,Data!$LA$1:$LD$1,0)</f>
        <v>#N/A</v>
      </c>
      <c r="BC11" s="172">
        <f>MATCH('Roller Blinds'!BA11,Data!$KZ$2:$KZ$3,0)</f>
        <v>1</v>
      </c>
      <c r="BD11" s="172" t="e">
        <f>INDEX(Data!$LA$2:$LD$3,'Roller Blinds'!BC11,'Roller Blinds'!BB11)</f>
        <v>#N/A</v>
      </c>
      <c r="BG11" s="172" t="b">
        <f>IF(O11=Data!$QK$2,Data!$QL$1,IF(O11=Data!$QK$3,Data!$QM$1,IF(O11=Data!$QK$4,Data!$QN$1,IF(O11=Data!$QK$5,Data!$QO$1,IF(O11=Data!$QK$6,Data!$QP$1,IF(O11=Data!$QK$7,Data!$QQ$1,IF(O11=Data!$QK$8,Data!$QR$1,IF(O11=Data!$QK$9,Data!$QS$1, IF(O11=Data!$QK$10,Data!$QV$1, IF(O11=Data!$QK$11,Data!$QW$1))))))))))</f>
        <v>0</v>
      </c>
      <c r="BH11" s="33" t="b">
        <f>IF(O11=Data!$QK$2,Data!$QL$17,IF(O11=Data!$QK$3,Data!$QM$17,IF(O11=Data!$QK$4,Data!$QN$17,IF(O11=Data!$QK$5,Data!$QO$17,IF(O11=Data!$QK$6,Data!$QP$17,IF(O11=Data!$QK$7,Data!$QQ$17,IF(O11=Data!$QK$8,Data!$QR$17,IF(O11=Data!$QK$9,Data!$QS$17,IF(O11=Data!$QK$10,Data!$QV$17,IF(O11=Data!$QK$11,Data!$QW$17))))))))))</f>
        <v>0</v>
      </c>
      <c r="BI11" s="33" t="e">
        <f>VLOOKUP(O11,Data!$PU$13:$PV$22,2,FALSE)</f>
        <v>#N/A</v>
      </c>
      <c r="BJ11" s="33" t="e">
        <f>MATCH('Roller Blinds'!D11,Data!$AAK$2:$AAK$15)</f>
        <v>#N/A</v>
      </c>
      <c r="BK11" s="33" t="e">
        <f>MATCH(L11,Data!$AAL$1:$AAM$1)</f>
        <v>#N/A</v>
      </c>
      <c r="BL11" s="33" t="e">
        <f>INDEX(Data!$AAL$2:$AAM$15,BJ11,BK11)</f>
        <v>#N/A</v>
      </c>
    </row>
    <row r="12" spans="1:64" ht="30" customHeight="1" thickTop="1" thickBot="1">
      <c r="A12" s="52">
        <v>5</v>
      </c>
      <c r="B12" s="17"/>
      <c r="C12" s="17"/>
      <c r="D12" s="13"/>
      <c r="E12" s="15"/>
      <c r="F12" s="10"/>
      <c r="G12" s="10"/>
      <c r="H12" s="14"/>
      <c r="I12" s="14"/>
      <c r="J12" s="525"/>
      <c r="K12" s="526"/>
      <c r="L12" s="15"/>
      <c r="M12" s="15"/>
      <c r="N12" s="15"/>
      <c r="O12" s="577"/>
      <c r="P12" s="578"/>
      <c r="Q12" s="13"/>
      <c r="R12" s="13"/>
      <c r="S12" s="13"/>
      <c r="T12" s="13"/>
      <c r="U12" s="13"/>
      <c r="V12" s="13"/>
      <c r="W12" s="13"/>
      <c r="X12" s="15"/>
      <c r="Y12" s="16"/>
      <c r="Z12" s="175"/>
      <c r="AA12" s="229"/>
      <c r="AB12" s="230"/>
      <c r="AC12" s="33" t="e">
        <f t="shared" si="0"/>
        <v>#N/A</v>
      </c>
      <c r="AD12" s="33" t="e">
        <f>VLOOKUP(S12,Data!$QH$2:$QI$4,2,FALSE)</f>
        <v>#N/A</v>
      </c>
      <c r="AF12" s="172" t="e">
        <f t="shared" si="1"/>
        <v>#N/A</v>
      </c>
      <c r="AG12" s="172" t="str">
        <f>IF(COUNTIF($H$8:$H$57,Data!KF7),Data!KG7,"")</f>
        <v/>
      </c>
      <c r="AI12" s="172" t="b">
        <f>IF(W12=Data!$KK$2,Data!$KM$1,IF(W12=Data!$KK$3,Data!$KN$1,IF(W12=Data!$KK$4,Data!$KP$1,IF(W12=Data!$KK$5,Data!$KQ$1))))</f>
        <v>0</v>
      </c>
      <c r="AJ12" s="33" t="str">
        <f>IF(D12=Data!$W$10,Data!$QJ$1,Data!$QK$1)</f>
        <v>RollerControl</v>
      </c>
      <c r="AM12" s="33" t="b">
        <f>IF(S12=Data!$PX$2,Data!$PZ$1,IF(S12=Data!$PX$3,Data!$PY$1,IF(S12=Data!$PX$4,Data!$QA$1)))</f>
        <v>0</v>
      </c>
      <c r="AO12" s="33" t="b">
        <f>IF(S12=Data!$PX$3,Data!$QB$1,IF(S12=Data!$PX$2,Data!$QC$1,IF(S12=Data!$PX$4,Data!$QD$1)))</f>
        <v>0</v>
      </c>
      <c r="AQ12" s="33" t="str">
        <f>IF(D12=Data!$W$3,Data!$QF$1,IF(D12=Data!$W$4,Data!$QF$1,IF(D12=Data!$W$5,Data!$QF$1,IF(D12=Data!$W$6,Data!$QF$1,IF(D12=Data!$W$7,Data!$QF$1,IF(D12=Data!$W$8,Data!$QF$1,IF(D12=Data!$W$9,Data!$QF$1,IF(D12=Data!$W$10,Data!$QE$1,IF(D12=Data!$W$11,Data!$QF$1,IF(D12=Data!$W$12,Data!$QF$1,IF(D12=Data!$W$13,Data!$QF$1,IF(D12=Data!$W$14,Data!$QF$1,IF(D12=Data!$W$15,Data!$QF$1,IF(D12=Data!$W$16,Data!$QF$1))))))))))))))</f>
        <v>RollerBracketType2</v>
      </c>
      <c r="BA12" s="40" t="str">
        <f>IF(AND(F12&lt;2130, OR(G12&lt;2100)),Data!$KS$1,Data!$KT$1)</f>
        <v>Small_Tube</v>
      </c>
      <c r="BB12" s="172" t="e">
        <f>MATCH(W12,Data!$LA$1:$LD$1,0)</f>
        <v>#N/A</v>
      </c>
      <c r="BC12" s="172">
        <f>MATCH('Roller Blinds'!BA12,Data!$KZ$2:$KZ$3,0)</f>
        <v>1</v>
      </c>
      <c r="BD12" s="172" t="e">
        <f>INDEX(Data!$LA$2:$LD$3,'Roller Blinds'!BC12,'Roller Blinds'!BB12)</f>
        <v>#N/A</v>
      </c>
      <c r="BG12" s="172" t="b">
        <f>IF(O12=Data!$QK$2,Data!$QL$1,IF(O12=Data!$QK$3,Data!$QM$1,IF(O12=Data!$QK$4,Data!$QN$1,IF(O12=Data!$QK$5,Data!$QO$1,IF(O12=Data!$QK$6,Data!$QP$1,IF(O12=Data!$QK$7,Data!$QQ$1,IF(O12=Data!$QK$8,Data!$QR$1,IF(O12=Data!$QK$9,Data!$QS$1, IF(O12=Data!$QK$10,Data!$QV$1, IF(O12=Data!$QK$11,Data!$QW$1))))))))))</f>
        <v>0</v>
      </c>
      <c r="BH12" s="33" t="b">
        <f>IF(O12=Data!$QK$2,Data!$QL$17,IF(O12=Data!$QK$3,Data!$QM$17,IF(O12=Data!$QK$4,Data!$QN$17,IF(O12=Data!$QK$5,Data!$QO$17,IF(O12=Data!$QK$6,Data!$QP$17,IF(O12=Data!$QK$7,Data!$QQ$17,IF(O12=Data!$QK$8,Data!$QR$17,IF(O12=Data!$QK$9,Data!$QS$17,IF(O12=Data!$QK$10,Data!$QV$17,IF(O12=Data!$QK$11,Data!$QW$17))))))))))</f>
        <v>0</v>
      </c>
      <c r="BI12" s="33" t="e">
        <f>VLOOKUP(O12,Data!$PU$13:$PV$22,2,FALSE)</f>
        <v>#N/A</v>
      </c>
      <c r="BJ12" s="33" t="e">
        <f>MATCH('Roller Blinds'!D12,Data!$AAK$2:$AAK$15)</f>
        <v>#N/A</v>
      </c>
      <c r="BK12" s="33" t="e">
        <f>MATCH(L12,Data!$AAL$1:$AAM$1)</f>
        <v>#N/A</v>
      </c>
      <c r="BL12" s="33" t="e">
        <f>INDEX(Data!$AAL$2:$AAM$15,BJ12,BK12)</f>
        <v>#N/A</v>
      </c>
    </row>
    <row r="13" spans="1:64" ht="30" customHeight="1" thickTop="1" thickBot="1">
      <c r="A13" s="52">
        <v>6</v>
      </c>
      <c r="B13" s="17"/>
      <c r="C13" s="17"/>
      <c r="D13" s="13"/>
      <c r="E13" s="15"/>
      <c r="F13" s="10"/>
      <c r="G13" s="10"/>
      <c r="H13" s="14"/>
      <c r="I13" s="14"/>
      <c r="J13" s="525"/>
      <c r="K13" s="526"/>
      <c r="L13" s="15"/>
      <c r="M13" s="15"/>
      <c r="N13" s="15"/>
      <c r="O13" s="577"/>
      <c r="P13" s="578"/>
      <c r="Q13" s="13"/>
      <c r="R13" s="13"/>
      <c r="S13" s="13"/>
      <c r="T13" s="13"/>
      <c r="U13" s="13"/>
      <c r="V13" s="13"/>
      <c r="W13" s="13"/>
      <c r="X13" s="15"/>
      <c r="Y13" s="16"/>
      <c r="Z13" s="175"/>
      <c r="AA13" s="229"/>
      <c r="AB13" s="230"/>
      <c r="AC13" s="33" t="e">
        <f t="shared" si="0"/>
        <v>#N/A</v>
      </c>
      <c r="AD13" s="33" t="e">
        <f>VLOOKUP(S13,Data!$QH$2:$QI$4,2,FALSE)</f>
        <v>#N/A</v>
      </c>
      <c r="AF13" s="172" t="e">
        <f t="shared" si="1"/>
        <v>#N/A</v>
      </c>
      <c r="AG13" s="172" t="str">
        <f>IF(COUNTIF($H$8:$H$57,Data!KF8),Data!KG8,"")</f>
        <v/>
      </c>
      <c r="AI13" s="172" t="b">
        <f>IF(W13=Data!$KK$2,Data!$KM$1,IF(W13=Data!$KK$3,Data!$KN$1,IF(W13=Data!$KK$4,Data!$KP$1,IF(W13=Data!$KK$5,Data!$KQ$1))))</f>
        <v>0</v>
      </c>
      <c r="AJ13" s="33" t="str">
        <f>IF(D13=Data!$W$10,Data!$QJ$1,Data!$QK$1)</f>
        <v>RollerControl</v>
      </c>
      <c r="AM13" s="33" t="b">
        <f>IF(S13=Data!$PX$2,Data!$PZ$1,IF(S13=Data!$PX$3,Data!$PY$1,IF(S13=Data!$PX$4,Data!$QA$1)))</f>
        <v>0</v>
      </c>
      <c r="AO13" s="33" t="b">
        <f>IF(S13=Data!$PX$3,Data!$QB$1,IF(S13=Data!$PX$2,Data!$QC$1,IF(S13=Data!$PX$4,Data!$QD$1)))</f>
        <v>0</v>
      </c>
      <c r="AQ13" s="33" t="str">
        <f>IF(D13=Data!$W$3,Data!$QF$1,IF(D13=Data!$W$4,Data!$QF$1,IF(D13=Data!$W$5,Data!$QF$1,IF(D13=Data!$W$6,Data!$QF$1,IF(D13=Data!$W$7,Data!$QF$1,IF(D13=Data!$W$8,Data!$QF$1,IF(D13=Data!$W$9,Data!$QF$1,IF(D13=Data!$W$10,Data!$QE$1,IF(D13=Data!$W$11,Data!$QF$1,IF(D13=Data!$W$12,Data!$QF$1,IF(D13=Data!$W$13,Data!$QF$1,IF(D13=Data!$W$14,Data!$QF$1,IF(D13=Data!$W$15,Data!$QF$1,IF(D13=Data!$W$16,Data!$QF$1))))))))))))))</f>
        <v>RollerBracketType2</v>
      </c>
      <c r="BA13" s="40" t="str">
        <f>IF(AND(F13&lt;2130, OR(G13&lt;2100)),Data!$KS$1,Data!$KT$1)</f>
        <v>Small_Tube</v>
      </c>
      <c r="BB13" s="172" t="e">
        <f>MATCH(W13,Data!$LA$1:$LD$1,0)</f>
        <v>#N/A</v>
      </c>
      <c r="BC13" s="172">
        <f>MATCH('Roller Blinds'!BA13,Data!$KZ$2:$KZ$3,0)</f>
        <v>1</v>
      </c>
      <c r="BD13" s="172" t="e">
        <f>INDEX(Data!$LA$2:$LD$3,'Roller Blinds'!BC13,'Roller Blinds'!BB13)</f>
        <v>#N/A</v>
      </c>
      <c r="BG13" s="172" t="b">
        <f>IF(O13=Data!$QK$2,Data!$QL$1,IF(O13=Data!$QK$3,Data!$QM$1,IF(O13=Data!$QK$4,Data!$QN$1,IF(O13=Data!$QK$5,Data!$QO$1,IF(O13=Data!$QK$6,Data!$QP$1,IF(O13=Data!$QK$7,Data!$QQ$1,IF(O13=Data!$QK$8,Data!$QR$1,IF(O13=Data!$QK$9,Data!$QS$1, IF(O13=Data!$QK$10,Data!$QV$1, IF(O13=Data!$QK$11,Data!$QW$1))))))))))</f>
        <v>0</v>
      </c>
      <c r="BH13" s="33" t="b">
        <f>IF(O13=Data!$QK$2,Data!$QL$17,IF(O13=Data!$QK$3,Data!$QM$17,IF(O13=Data!$QK$4,Data!$QN$17,IF(O13=Data!$QK$5,Data!$QO$17,IF(O13=Data!$QK$6,Data!$QP$17,IF(O13=Data!$QK$7,Data!$QQ$17,IF(O13=Data!$QK$8,Data!$QR$17,IF(O13=Data!$QK$9,Data!$QS$17,IF(O13=Data!$QK$10,Data!$QV$17,IF(O13=Data!$QK$11,Data!$QW$17))))))))))</f>
        <v>0</v>
      </c>
      <c r="BI13" s="33" t="e">
        <f>VLOOKUP(O13,Data!$PU$13:$PV$22,2,FALSE)</f>
        <v>#N/A</v>
      </c>
      <c r="BJ13" s="33" t="e">
        <f>MATCH('Roller Blinds'!D13,Data!$AAK$2:$AAK$15)</f>
        <v>#N/A</v>
      </c>
      <c r="BK13" s="33" t="e">
        <f>MATCH(L13,Data!$AAL$1:$AAM$1)</f>
        <v>#N/A</v>
      </c>
      <c r="BL13" s="33" t="e">
        <f>INDEX(Data!$AAL$2:$AAM$15,BJ13,BK13)</f>
        <v>#N/A</v>
      </c>
    </row>
    <row r="14" spans="1:64" ht="30" customHeight="1" thickTop="1" thickBot="1">
      <c r="A14" s="52">
        <v>7</v>
      </c>
      <c r="B14" s="17"/>
      <c r="C14" s="17"/>
      <c r="D14" s="13"/>
      <c r="E14" s="15"/>
      <c r="F14" s="10"/>
      <c r="G14" s="10"/>
      <c r="H14" s="14"/>
      <c r="I14" s="14"/>
      <c r="J14" s="525"/>
      <c r="K14" s="526"/>
      <c r="L14" s="15"/>
      <c r="M14" s="15"/>
      <c r="N14" s="15"/>
      <c r="O14" s="577"/>
      <c r="P14" s="578"/>
      <c r="Q14" s="13"/>
      <c r="R14" s="13"/>
      <c r="S14" s="13"/>
      <c r="T14" s="13"/>
      <c r="U14" s="13"/>
      <c r="V14" s="13"/>
      <c r="W14" s="13"/>
      <c r="X14" s="15"/>
      <c r="Y14" s="16"/>
      <c r="Z14" s="175"/>
      <c r="AA14" s="229"/>
      <c r="AB14" s="230"/>
      <c r="AC14" s="33" t="e">
        <f t="shared" si="0"/>
        <v>#N/A</v>
      </c>
      <c r="AD14" s="33" t="e">
        <f>VLOOKUP(S14,Data!$QH$2:$QI$4,2,FALSE)</f>
        <v>#N/A</v>
      </c>
      <c r="AF14" s="172" t="e">
        <f t="shared" si="1"/>
        <v>#N/A</v>
      </c>
      <c r="AG14" s="172" t="str">
        <f>IF(COUNTIF($H$8:$H$57,Data!KF9),Data!KG9,"")</f>
        <v/>
      </c>
      <c r="AI14" s="172" t="b">
        <f>IF(W14=Data!$KK$2,Data!$KM$1,IF(W14=Data!$KK$3,Data!$KN$1,IF(W14=Data!$KK$4,Data!$KP$1,IF(W14=Data!$KK$5,Data!$KQ$1))))</f>
        <v>0</v>
      </c>
      <c r="AJ14" s="33" t="str">
        <f>IF(D14=Data!$W$10,Data!$QJ$1,Data!$QK$1)</f>
        <v>RollerControl</v>
      </c>
      <c r="AM14" s="33" t="b">
        <f>IF(S14=Data!$PX$2,Data!$PZ$1,IF(S14=Data!$PX$3,Data!$PY$1,IF(S14=Data!$PX$4,Data!$QA$1)))</f>
        <v>0</v>
      </c>
      <c r="AO14" s="33" t="b">
        <f>IF(S14=Data!$PX$3,Data!$QB$1,IF(S14=Data!$PX$2,Data!$QC$1,IF(S14=Data!$PX$4,Data!$QD$1)))</f>
        <v>0</v>
      </c>
      <c r="AQ14" s="33" t="str">
        <f>IF(D14=Data!$W$3,Data!$QF$1,IF(D14=Data!$W$4,Data!$QF$1,IF(D14=Data!$W$5,Data!$QF$1,IF(D14=Data!$W$6,Data!$QF$1,IF(D14=Data!$W$7,Data!$QF$1,IF(D14=Data!$W$8,Data!$QF$1,IF(D14=Data!$W$9,Data!$QF$1,IF(D14=Data!$W$10,Data!$QE$1,IF(D14=Data!$W$11,Data!$QF$1,IF(D14=Data!$W$12,Data!$QF$1,IF(D14=Data!$W$13,Data!$QF$1,IF(D14=Data!$W$14,Data!$QF$1,IF(D14=Data!$W$15,Data!$QF$1,IF(D14=Data!$W$16,Data!$QF$1))))))))))))))</f>
        <v>RollerBracketType2</v>
      </c>
      <c r="BA14" s="40" t="str">
        <f>IF(AND(F14&lt;2130, OR(G14&lt;2100)),Data!$KS$1,Data!$KT$1)</f>
        <v>Small_Tube</v>
      </c>
      <c r="BB14" s="172" t="e">
        <f>MATCH(W14,Data!$LA$1:$LD$1,0)</f>
        <v>#N/A</v>
      </c>
      <c r="BC14" s="172">
        <f>MATCH('Roller Blinds'!BA14,Data!$KZ$2:$KZ$3,0)</f>
        <v>1</v>
      </c>
      <c r="BD14" s="172" t="e">
        <f>INDEX(Data!$LA$2:$LD$3,'Roller Blinds'!BC14,'Roller Blinds'!BB14)</f>
        <v>#N/A</v>
      </c>
      <c r="BG14" s="172" t="b">
        <f>IF(O14=Data!$QK$2,Data!$QL$1,IF(O14=Data!$QK$3,Data!$QM$1,IF(O14=Data!$QK$4,Data!$QN$1,IF(O14=Data!$QK$5,Data!$QO$1,IF(O14=Data!$QK$6,Data!$QP$1,IF(O14=Data!$QK$7,Data!$QQ$1,IF(O14=Data!$QK$8,Data!$QR$1,IF(O14=Data!$QK$9,Data!$QS$1, IF(O14=Data!$QK$10,Data!$QV$1, IF(O14=Data!$QK$11,Data!$QW$1))))))))))</f>
        <v>0</v>
      </c>
      <c r="BH14" s="33" t="b">
        <f>IF(O14=Data!$QK$2,Data!$QL$17,IF(O14=Data!$QK$3,Data!$QM$17,IF(O14=Data!$QK$4,Data!$QN$17,IF(O14=Data!$QK$5,Data!$QO$17,IF(O14=Data!$QK$6,Data!$QP$17,IF(O14=Data!$QK$7,Data!$QQ$17,IF(O14=Data!$QK$8,Data!$QR$17,IF(O14=Data!$QK$9,Data!$QS$17,IF(O14=Data!$QK$10,Data!$QV$17,IF(O14=Data!$QK$11,Data!$QW$17))))))))))</f>
        <v>0</v>
      </c>
      <c r="BI14" s="33" t="e">
        <f>VLOOKUP(O14,Data!$PU$13:$PV$22,2,FALSE)</f>
        <v>#N/A</v>
      </c>
      <c r="BJ14" s="33" t="e">
        <f>MATCH('Roller Blinds'!D14,Data!$AAK$2:$AAK$15)</f>
        <v>#N/A</v>
      </c>
      <c r="BK14" s="33" t="e">
        <f>MATCH(L14,Data!$AAL$1:$AAM$1)</f>
        <v>#N/A</v>
      </c>
      <c r="BL14" s="33" t="e">
        <f>INDEX(Data!$AAL$2:$AAM$15,BJ14,BK14)</f>
        <v>#N/A</v>
      </c>
    </row>
    <row r="15" spans="1:64" ht="30" customHeight="1" thickTop="1" thickBot="1">
      <c r="A15" s="52">
        <v>8</v>
      </c>
      <c r="B15" s="17"/>
      <c r="C15" s="17"/>
      <c r="D15" s="19"/>
      <c r="E15" s="15"/>
      <c r="F15" s="10"/>
      <c r="G15" s="10"/>
      <c r="H15" s="14"/>
      <c r="I15" s="14"/>
      <c r="J15" s="525"/>
      <c r="K15" s="526"/>
      <c r="L15" s="15"/>
      <c r="M15" s="15"/>
      <c r="N15" s="15"/>
      <c r="O15" s="577"/>
      <c r="P15" s="578"/>
      <c r="Q15" s="13"/>
      <c r="R15" s="13"/>
      <c r="S15" s="13"/>
      <c r="T15" s="13"/>
      <c r="U15" s="13"/>
      <c r="V15" s="13"/>
      <c r="W15" s="13"/>
      <c r="X15" s="15"/>
      <c r="Y15" s="16"/>
      <c r="Z15" s="175"/>
      <c r="AA15" s="229"/>
      <c r="AB15" s="230"/>
      <c r="AC15" s="33" t="e">
        <f t="shared" si="0"/>
        <v>#N/A</v>
      </c>
      <c r="AD15" s="33" t="e">
        <f>VLOOKUP(S15,Data!$QH$2:$QI$4,2,FALSE)</f>
        <v>#N/A</v>
      </c>
      <c r="AF15" s="172" t="e">
        <f t="shared" si="1"/>
        <v>#N/A</v>
      </c>
      <c r="AG15" s="172" t="str">
        <f>IF(COUNTIF(AG8:AG14,Data!KG6),Data!KH6,"")</f>
        <v/>
      </c>
      <c r="AI15" s="172" t="b">
        <f>IF(W15=Data!$KK$2,Data!$KM$1,IF(W15=Data!$KK$3,Data!$KN$1,IF(W15=Data!$KK$4,Data!$KP$1,IF(W15=Data!$KK$5,Data!$KQ$1))))</f>
        <v>0</v>
      </c>
      <c r="AJ15" s="33" t="str">
        <f>IF(D15=Data!$W$10,Data!$QJ$1,Data!$QK$1)</f>
        <v>RollerControl</v>
      </c>
      <c r="AM15" s="33" t="b">
        <f>IF(S15=Data!$PX$2,Data!$PZ$1,IF(S15=Data!$PX$3,Data!$PY$1,IF(S15=Data!$PX$4,Data!$QA$1)))</f>
        <v>0</v>
      </c>
      <c r="AO15" s="33" t="b">
        <f>IF(S15=Data!$PX$3,Data!$QB$1,IF(S15=Data!$PX$2,Data!$QC$1,IF(S15=Data!$PX$4,Data!$QD$1)))</f>
        <v>0</v>
      </c>
      <c r="AQ15" s="33" t="str">
        <f>IF(D15=Data!$W$3,Data!$QF$1,IF(D15=Data!$W$4,Data!$QF$1,IF(D15=Data!$W$5,Data!$QF$1,IF(D15=Data!$W$6,Data!$QF$1,IF(D15=Data!$W$7,Data!$QF$1,IF(D15=Data!$W$8,Data!$QF$1,IF(D15=Data!$W$9,Data!$QF$1,IF(D15=Data!$W$10,Data!$QE$1,IF(D15=Data!$W$11,Data!$QF$1,IF(D15=Data!$W$12,Data!$QF$1,IF(D15=Data!$W$13,Data!$QF$1,IF(D15=Data!$W$14,Data!$QF$1,IF(D15=Data!$W$15,Data!$QF$1,IF(D15=Data!$W$16,Data!$QF$1))))))))))))))</f>
        <v>RollerBracketType2</v>
      </c>
      <c r="BA15" s="40" t="str">
        <f>IF(AND(F15&lt;2130, OR(G15&lt;2100)),Data!$KS$1,Data!$KT$1)</f>
        <v>Small_Tube</v>
      </c>
      <c r="BB15" s="172" t="e">
        <f>MATCH(W15,Data!$LA$1:$LD$1,0)</f>
        <v>#N/A</v>
      </c>
      <c r="BC15" s="172">
        <f>MATCH('Roller Blinds'!BA15,Data!$KZ$2:$KZ$3,0)</f>
        <v>1</v>
      </c>
      <c r="BD15" s="172" t="e">
        <f>INDEX(Data!$LA$2:$LD$3,'Roller Blinds'!BC15,'Roller Blinds'!BB15)</f>
        <v>#N/A</v>
      </c>
      <c r="BG15" s="172" t="b">
        <f>IF(O15=Data!$QK$2,Data!$QL$1,IF(O15=Data!$QK$3,Data!$QM$1,IF(O15=Data!$QK$4,Data!$QN$1,IF(O15=Data!$QK$5,Data!$QO$1,IF(O15=Data!$QK$6,Data!$QP$1,IF(O15=Data!$QK$7,Data!$QQ$1,IF(O15=Data!$QK$8,Data!$QR$1,IF(O15=Data!$QK$9,Data!$QS$1, IF(O15=Data!$QK$10,Data!$QV$1, IF(O15=Data!$QK$11,Data!$QW$1))))))))))</f>
        <v>0</v>
      </c>
      <c r="BH15" s="33" t="b">
        <f>IF(O15=Data!$QK$2,Data!$QL$17,IF(O15=Data!$QK$3,Data!$QM$17,IF(O15=Data!$QK$4,Data!$QN$17,IF(O15=Data!$QK$5,Data!$QO$17,IF(O15=Data!$QK$6,Data!$QP$17,IF(O15=Data!$QK$7,Data!$QQ$17,IF(O15=Data!$QK$8,Data!$QR$17,IF(O15=Data!$QK$9,Data!$QS$17,IF(O15=Data!$QK$10,Data!$QV$17,IF(O15=Data!$QK$11,Data!$QW$17))))))))))</f>
        <v>0</v>
      </c>
      <c r="BI15" s="33" t="e">
        <f>VLOOKUP(O15,Data!$PU$13:$PV$22,2,FALSE)</f>
        <v>#N/A</v>
      </c>
      <c r="BJ15" s="33" t="e">
        <f>MATCH('Roller Blinds'!D15,Data!$AAK$2:$AAK$15)</f>
        <v>#N/A</v>
      </c>
      <c r="BK15" s="33" t="e">
        <f>MATCH(L15,Data!$AAL$1:$AAM$1)</f>
        <v>#N/A</v>
      </c>
      <c r="BL15" s="33" t="e">
        <f>INDEX(Data!$AAL$2:$AAM$15,BJ15,BK15)</f>
        <v>#N/A</v>
      </c>
    </row>
    <row r="16" spans="1:64" ht="30" customHeight="1" thickTop="1" thickBot="1">
      <c r="A16" s="52">
        <v>9</v>
      </c>
      <c r="B16" s="17"/>
      <c r="C16" s="17"/>
      <c r="D16" s="13"/>
      <c r="E16" s="15"/>
      <c r="F16" s="10"/>
      <c r="G16" s="10"/>
      <c r="H16" s="14"/>
      <c r="I16" s="14"/>
      <c r="J16" s="525"/>
      <c r="K16" s="526"/>
      <c r="L16" s="15"/>
      <c r="M16" s="15"/>
      <c r="N16" s="15"/>
      <c r="O16" s="577"/>
      <c r="P16" s="578"/>
      <c r="Q16" s="13"/>
      <c r="R16" s="13"/>
      <c r="S16" s="13"/>
      <c r="T16" s="13"/>
      <c r="U16" s="13"/>
      <c r="V16" s="13"/>
      <c r="W16" s="13"/>
      <c r="X16" s="15"/>
      <c r="Y16" s="16"/>
      <c r="Z16" s="175"/>
      <c r="AA16" s="229"/>
      <c r="AB16" s="230"/>
      <c r="AC16" s="33" t="e">
        <f t="shared" si="0"/>
        <v>#N/A</v>
      </c>
      <c r="AD16" s="33" t="e">
        <f>VLOOKUP(S16,Data!$QH$2:$QI$4,2,FALSE)</f>
        <v>#N/A</v>
      </c>
      <c r="AF16" s="172" t="e">
        <f t="shared" si="1"/>
        <v>#N/A</v>
      </c>
      <c r="AG16" s="172" t="str">
        <f>IF(COUNTIF(AG8:AG14,Data!KG7),Data!KH7,"")</f>
        <v/>
      </c>
      <c r="AI16" s="172" t="b">
        <f>IF(W16=Data!$KK$2,Data!$KM$1,IF(W16=Data!$KK$3,Data!$KN$1,IF(W16=Data!$KK$4,Data!$KP$1,IF(W16=Data!$KK$5,Data!$KQ$1))))</f>
        <v>0</v>
      </c>
      <c r="AJ16" s="33" t="str">
        <f>IF(D16=Data!$W$10,Data!$QJ$1,Data!$QK$1)</f>
        <v>RollerControl</v>
      </c>
      <c r="AM16" s="33" t="b">
        <f>IF(S16=Data!$PX$2,Data!$PZ$1,IF(S16=Data!$PX$3,Data!$PY$1,IF(S16=Data!$PX$4,Data!$QA$1)))</f>
        <v>0</v>
      </c>
      <c r="AO16" s="33" t="b">
        <f>IF(S16=Data!$PX$3,Data!$QB$1,IF(S16=Data!$PX$2,Data!$QC$1,IF(S16=Data!$PX$4,Data!$QD$1)))</f>
        <v>0</v>
      </c>
      <c r="AQ16" s="33" t="str">
        <f>IF(D16=Data!$W$3,Data!$QF$1,IF(D16=Data!$W$4,Data!$QF$1,IF(D16=Data!$W$5,Data!$QF$1,IF(D16=Data!$W$6,Data!$QF$1,IF(D16=Data!$W$7,Data!$QF$1,IF(D16=Data!$W$8,Data!$QF$1,IF(D16=Data!$W$9,Data!$QF$1,IF(D16=Data!$W$10,Data!$QE$1,IF(D16=Data!$W$11,Data!$QF$1,IF(D16=Data!$W$12,Data!$QF$1,IF(D16=Data!$W$13,Data!$QF$1,IF(D16=Data!$W$14,Data!$QF$1,IF(D16=Data!$W$15,Data!$QF$1,IF(D16=Data!$W$16,Data!$QF$1))))))))))))))</f>
        <v>RollerBracketType2</v>
      </c>
      <c r="BA16" s="40" t="str">
        <f>IF(AND(F16&lt;2130, OR(G16&lt;2100)),Data!$KS$1,Data!$KT$1)</f>
        <v>Small_Tube</v>
      </c>
      <c r="BB16" s="172" t="e">
        <f>MATCH(W16,Data!$LA$1:$LD$1,0)</f>
        <v>#N/A</v>
      </c>
      <c r="BC16" s="172">
        <f>MATCH('Roller Blinds'!BA16,Data!$KZ$2:$KZ$3,0)</f>
        <v>1</v>
      </c>
      <c r="BD16" s="172" t="e">
        <f>INDEX(Data!$LA$2:$LD$3,'Roller Blinds'!BC16,'Roller Blinds'!BB16)</f>
        <v>#N/A</v>
      </c>
      <c r="BG16" s="172" t="b">
        <f>IF(O16=Data!$QK$2,Data!$QL$1,IF(O16=Data!$QK$3,Data!$QM$1,IF(O16=Data!$QK$4,Data!$QN$1,IF(O16=Data!$QK$5,Data!$QO$1,IF(O16=Data!$QK$6,Data!$QP$1,IF(O16=Data!$QK$7,Data!$QQ$1,IF(O16=Data!$QK$8,Data!$QR$1,IF(O16=Data!$QK$9,Data!$QS$1, IF(O16=Data!$QK$10,Data!$QV$1, IF(O16=Data!$QK$11,Data!$QW$1))))))))))</f>
        <v>0</v>
      </c>
      <c r="BH16" s="33" t="b">
        <f>IF(O16=Data!$QK$2,Data!$QL$17,IF(O16=Data!$QK$3,Data!$QM$17,IF(O16=Data!$QK$4,Data!$QN$17,IF(O16=Data!$QK$5,Data!$QO$17,IF(O16=Data!$QK$6,Data!$QP$17,IF(O16=Data!$QK$7,Data!$QQ$17,IF(O16=Data!$QK$8,Data!$QR$17,IF(O16=Data!$QK$9,Data!$QS$17,IF(O16=Data!$QK$10,Data!$QV$17,IF(O16=Data!$QK$11,Data!$QW$17))))))))))</f>
        <v>0</v>
      </c>
      <c r="BI16" s="33" t="e">
        <f>VLOOKUP(O16,Data!$PU$13:$PV$22,2,FALSE)</f>
        <v>#N/A</v>
      </c>
      <c r="BJ16" s="33" t="e">
        <f>MATCH('Roller Blinds'!D16,Data!$AAK$2:$AAK$15)</f>
        <v>#N/A</v>
      </c>
      <c r="BK16" s="33" t="e">
        <f>MATCH(L16,Data!$AAL$1:$AAM$1)</f>
        <v>#N/A</v>
      </c>
      <c r="BL16" s="33" t="e">
        <f>INDEX(Data!$AAL$2:$AAM$15,BJ16,BK16)</f>
        <v>#N/A</v>
      </c>
    </row>
    <row r="17" spans="1:64" ht="30" customHeight="1" thickTop="1" thickBot="1">
      <c r="A17" s="52">
        <v>10</v>
      </c>
      <c r="B17" s="17"/>
      <c r="C17" s="17"/>
      <c r="D17" s="19"/>
      <c r="E17" s="15"/>
      <c r="F17" s="10"/>
      <c r="G17" s="10"/>
      <c r="H17" s="14"/>
      <c r="I17" s="14"/>
      <c r="J17" s="525"/>
      <c r="K17" s="526"/>
      <c r="L17" s="15"/>
      <c r="M17" s="15"/>
      <c r="N17" s="15"/>
      <c r="O17" s="577"/>
      <c r="P17" s="578"/>
      <c r="Q17" s="13"/>
      <c r="R17" s="13"/>
      <c r="S17" s="13"/>
      <c r="T17" s="13"/>
      <c r="U17" s="13"/>
      <c r="V17" s="13"/>
      <c r="W17" s="13"/>
      <c r="X17" s="15"/>
      <c r="Y17" s="16"/>
      <c r="Z17" s="175"/>
      <c r="AA17" s="229"/>
      <c r="AB17" s="230"/>
      <c r="AC17" s="33" t="e">
        <f t="shared" si="0"/>
        <v>#N/A</v>
      </c>
      <c r="AD17" s="33" t="e">
        <f>VLOOKUP(S17,Data!$QH$2:$QI$4,2,FALSE)</f>
        <v>#N/A</v>
      </c>
      <c r="AF17" s="172" t="e">
        <f t="shared" si="1"/>
        <v>#N/A</v>
      </c>
      <c r="AG17" s="172" t="str">
        <f>AG15&amp;" &amp; "&amp;AG16&amp;""</f>
        <v xml:space="preserve"> &amp; </v>
      </c>
      <c r="AI17" s="172" t="b">
        <f>IF(W17=Data!$KK$2,Data!$KM$1,IF(W17=Data!$KK$3,Data!$KN$1,IF(W17=Data!$KK$4,Data!$KP$1,IF(W17=Data!$KK$5,Data!$KQ$1))))</f>
        <v>0</v>
      </c>
      <c r="AJ17" s="33" t="str">
        <f>IF(D17=Data!$W$10,Data!$QJ$1,Data!$QK$1)</f>
        <v>RollerControl</v>
      </c>
      <c r="AM17" s="33" t="b">
        <f>IF(S17=Data!$PX$2,Data!$PZ$1,IF(S17=Data!$PX$3,Data!$PY$1,IF(S17=Data!$PX$4,Data!$QA$1)))</f>
        <v>0</v>
      </c>
      <c r="AO17" s="33" t="b">
        <f>IF(S17=Data!$PX$3,Data!$QB$1,IF(S17=Data!$PX$2,Data!$QC$1,IF(S17=Data!$PX$4,Data!$QD$1)))</f>
        <v>0</v>
      </c>
      <c r="AQ17" s="33" t="str">
        <f>IF(D17=Data!$W$3,Data!$QF$1,IF(D17=Data!$W$4,Data!$QF$1,IF(D17=Data!$W$5,Data!$QF$1,IF(D17=Data!$W$6,Data!$QF$1,IF(D17=Data!$W$7,Data!$QF$1,IF(D17=Data!$W$8,Data!$QF$1,IF(D17=Data!$W$9,Data!$QF$1,IF(D17=Data!$W$10,Data!$QE$1,IF(D17=Data!$W$11,Data!$QF$1,IF(D17=Data!$W$12,Data!$QF$1,IF(D17=Data!$W$13,Data!$QF$1,IF(D17=Data!$W$14,Data!$QF$1,IF(D17=Data!$W$15,Data!$QF$1,IF(D17=Data!$W$16,Data!$QF$1))))))))))))))</f>
        <v>RollerBracketType2</v>
      </c>
      <c r="BA17" s="40" t="str">
        <f>IF(AND(F17&lt;2130, OR(G17&lt;2100)),Data!$KS$1,Data!$KT$1)</f>
        <v>Small_Tube</v>
      </c>
      <c r="BB17" s="172" t="e">
        <f>MATCH(W17,Data!$LA$1:$LD$1,0)</f>
        <v>#N/A</v>
      </c>
      <c r="BC17" s="172">
        <f>MATCH('Roller Blinds'!BA17,Data!$KZ$2:$KZ$3,0)</f>
        <v>1</v>
      </c>
      <c r="BD17" s="172" t="e">
        <f>INDEX(Data!$LA$2:$LD$3,'Roller Blinds'!BC17,'Roller Blinds'!BB17)</f>
        <v>#N/A</v>
      </c>
      <c r="BG17" s="172" t="b">
        <f>IF(O17=Data!$QK$2,Data!$QL$1,IF(O17=Data!$QK$3,Data!$QM$1,IF(O17=Data!$QK$4,Data!$QN$1,IF(O17=Data!$QK$5,Data!$QO$1,IF(O17=Data!$QK$6,Data!$QP$1,IF(O17=Data!$QK$7,Data!$QQ$1,IF(O17=Data!$QK$8,Data!$QR$1,IF(O17=Data!$QK$9,Data!$QS$1, IF(O17=Data!$QK$10,Data!$QV$1, IF(O17=Data!$QK$11,Data!$QW$1))))))))))</f>
        <v>0</v>
      </c>
      <c r="BH17" s="33" t="b">
        <f>IF(O17=Data!$QK$2,Data!$QL$17,IF(O17=Data!$QK$3,Data!$QM$17,IF(O17=Data!$QK$4,Data!$QN$17,IF(O17=Data!$QK$5,Data!$QO$17,IF(O17=Data!$QK$6,Data!$QP$17,IF(O17=Data!$QK$7,Data!$QQ$17,IF(O17=Data!$QK$8,Data!$QR$17,IF(O17=Data!$QK$9,Data!$QS$17,IF(O17=Data!$QK$10,Data!$QV$17,IF(O17=Data!$QK$11,Data!$QW$17))))))))))</f>
        <v>0</v>
      </c>
      <c r="BI17" s="33" t="e">
        <f>VLOOKUP(O17,Data!$PU$13:$PV$22,2,FALSE)</f>
        <v>#N/A</v>
      </c>
      <c r="BJ17" s="33" t="e">
        <f>MATCH('Roller Blinds'!D17,Data!$AAK$2:$AAK$15)</f>
        <v>#N/A</v>
      </c>
      <c r="BK17" s="33" t="e">
        <f>MATCH(L17,Data!$AAL$1:$AAM$1)</f>
        <v>#N/A</v>
      </c>
      <c r="BL17" s="33" t="e">
        <f>INDEX(Data!$AAL$2:$AAM$15,BJ17,BK17)</f>
        <v>#N/A</v>
      </c>
    </row>
    <row r="18" spans="1:64" ht="30" customHeight="1" thickTop="1" thickBot="1">
      <c r="A18" s="52">
        <v>11</v>
      </c>
      <c r="B18" s="17"/>
      <c r="C18" s="17"/>
      <c r="D18" s="13"/>
      <c r="E18" s="15"/>
      <c r="F18" s="10"/>
      <c r="G18" s="10"/>
      <c r="H18" s="14"/>
      <c r="I18" s="14"/>
      <c r="J18" s="525"/>
      <c r="K18" s="526"/>
      <c r="L18" s="15"/>
      <c r="M18" s="15"/>
      <c r="N18" s="15"/>
      <c r="O18" s="577"/>
      <c r="P18" s="578"/>
      <c r="Q18" s="13"/>
      <c r="R18" s="13"/>
      <c r="S18" s="13"/>
      <c r="T18" s="13"/>
      <c r="U18" s="13"/>
      <c r="V18" s="13"/>
      <c r="W18" s="13"/>
      <c r="X18" s="15"/>
      <c r="Y18" s="16"/>
      <c r="Z18" s="175"/>
      <c r="AA18" s="229"/>
      <c r="AB18" s="230"/>
      <c r="AC18" s="33" t="e">
        <f t="shared" si="0"/>
        <v>#N/A</v>
      </c>
      <c r="AD18" s="33" t="e">
        <f>VLOOKUP(S18,Data!$QH$2:$QI$4,2,FALSE)</f>
        <v>#N/A</v>
      </c>
      <c r="AF18" s="172" t="e">
        <f t="shared" si="1"/>
        <v>#N/A</v>
      </c>
      <c r="AG18" s="172" t="str">
        <f>IF(AG17="Corner &amp; Bay","Corner &amp; Bay Window Diagram Must Be Supplied",IF(AG15="Corner","Corner Window Diagram Must Be Supplied",IF(AG16="Bay","Bay Window Diagram Must Be Supplied","")))</f>
        <v/>
      </c>
      <c r="AI18" s="172" t="b">
        <f>IF(W18=Data!$KK$2,Data!$KM$1,IF(W18=Data!$KK$3,Data!$KN$1,IF(W18=Data!$KK$4,Data!$KP$1,IF(W18=Data!$KK$5,Data!$KQ$1))))</f>
        <v>0</v>
      </c>
      <c r="AJ18" s="33" t="str">
        <f>IF(D18=Data!$W$10,Data!$QJ$1,Data!$QK$1)</f>
        <v>RollerControl</v>
      </c>
      <c r="AM18" s="33" t="b">
        <f>IF(S18=Data!$PX$2,Data!$PZ$1,IF(S18=Data!$PX$3,Data!$PY$1,IF(S18=Data!$PX$4,Data!$QA$1)))</f>
        <v>0</v>
      </c>
      <c r="AO18" s="33" t="b">
        <f>IF(S18=Data!$PX$3,Data!$QB$1,IF(S18=Data!$PX$2,Data!$QC$1,IF(S18=Data!$PX$4,Data!$QD$1)))</f>
        <v>0</v>
      </c>
      <c r="AQ18" s="33" t="str">
        <f>IF(D18=Data!$W$3,Data!$QF$1,IF(D18=Data!$W$4,Data!$QF$1,IF(D18=Data!$W$5,Data!$QF$1,IF(D18=Data!$W$6,Data!$QF$1,IF(D18=Data!$W$7,Data!$QF$1,IF(D18=Data!$W$8,Data!$QF$1,IF(D18=Data!$W$9,Data!$QF$1,IF(D18=Data!$W$10,Data!$QE$1,IF(D18=Data!$W$11,Data!$QF$1,IF(D18=Data!$W$12,Data!$QF$1,IF(D18=Data!$W$13,Data!$QF$1,IF(D18=Data!$W$14,Data!$QF$1,IF(D18=Data!$W$15,Data!$QF$1,IF(D18=Data!$W$16,Data!$QF$1))))))))))))))</f>
        <v>RollerBracketType2</v>
      </c>
      <c r="BA18" s="40" t="str">
        <f>IF(AND(F18&lt;2130, OR(G18&lt;2100)),Data!$KS$1,Data!$KT$1)</f>
        <v>Small_Tube</v>
      </c>
      <c r="BB18" s="172" t="e">
        <f>MATCH(W18,Data!$LA$1:$LD$1,0)</f>
        <v>#N/A</v>
      </c>
      <c r="BC18" s="172">
        <f>MATCH('Roller Blinds'!BA18,Data!$KZ$2:$KZ$3,0)</f>
        <v>1</v>
      </c>
      <c r="BD18" s="172" t="e">
        <f>INDEX(Data!$LA$2:$LD$3,'Roller Blinds'!BC18,'Roller Blinds'!BB18)</f>
        <v>#N/A</v>
      </c>
      <c r="BG18" s="172" t="b">
        <f>IF(O18=Data!$QK$2,Data!$QL$1,IF(O18=Data!$QK$3,Data!$QM$1,IF(O18=Data!$QK$4,Data!$QN$1,IF(O18=Data!$QK$5,Data!$QO$1,IF(O18=Data!$QK$6,Data!$QP$1,IF(O18=Data!$QK$7,Data!$QQ$1,IF(O18=Data!$QK$8,Data!$QR$1,IF(O18=Data!$QK$9,Data!$QS$1, IF(O18=Data!$QK$10,Data!$QV$1, IF(O18=Data!$QK$11,Data!$QW$1))))))))))</f>
        <v>0</v>
      </c>
      <c r="BH18" s="33" t="b">
        <f>IF(O18=Data!$QK$2,Data!$QL$17,IF(O18=Data!$QK$3,Data!$QM$17,IF(O18=Data!$QK$4,Data!$QN$17,IF(O18=Data!$QK$5,Data!$QO$17,IF(O18=Data!$QK$6,Data!$QP$17,IF(O18=Data!$QK$7,Data!$QQ$17,IF(O18=Data!$QK$8,Data!$QR$17,IF(O18=Data!$QK$9,Data!$QS$17,IF(O18=Data!$QK$10,Data!$QV$17,IF(O18=Data!$QK$11,Data!$QW$17))))))))))</f>
        <v>0</v>
      </c>
      <c r="BI18" s="33" t="e">
        <f>VLOOKUP(O18,Data!$PU$13:$PV$22,2,FALSE)</f>
        <v>#N/A</v>
      </c>
      <c r="BJ18" s="33" t="e">
        <f>MATCH('Roller Blinds'!D18,Data!$AAK$2:$AAK$15)</f>
        <v>#N/A</v>
      </c>
      <c r="BK18" s="33" t="e">
        <f>MATCH(L18,Data!$AAL$1:$AAM$1)</f>
        <v>#N/A</v>
      </c>
      <c r="BL18" s="33" t="e">
        <f>INDEX(Data!$AAL$2:$AAM$15,BJ18,BK18)</f>
        <v>#N/A</v>
      </c>
    </row>
    <row r="19" spans="1:64" ht="30" customHeight="1" thickTop="1" thickBot="1">
      <c r="A19" s="52">
        <v>12</v>
      </c>
      <c r="B19" s="17"/>
      <c r="C19" s="17"/>
      <c r="D19" s="13"/>
      <c r="E19" s="15"/>
      <c r="F19" s="10"/>
      <c r="G19" s="10"/>
      <c r="H19" s="14"/>
      <c r="I19" s="14"/>
      <c r="J19" s="525"/>
      <c r="K19" s="526"/>
      <c r="L19" s="15"/>
      <c r="M19" s="15"/>
      <c r="N19" s="15"/>
      <c r="O19" s="577"/>
      <c r="P19" s="578"/>
      <c r="Q19" s="13"/>
      <c r="R19" s="13"/>
      <c r="S19" s="13"/>
      <c r="T19" s="13"/>
      <c r="U19" s="13"/>
      <c r="V19" s="13"/>
      <c r="W19" s="13"/>
      <c r="X19" s="15"/>
      <c r="Y19" s="16"/>
      <c r="Z19" s="175"/>
      <c r="AA19" s="229"/>
      <c r="AB19" s="230"/>
      <c r="AC19" s="33" t="e">
        <f t="shared" si="0"/>
        <v>#N/A</v>
      </c>
      <c r="AD19" s="33" t="e">
        <f>VLOOKUP(S19,Data!$QH$2:$QI$4,2,FALSE)</f>
        <v>#N/A</v>
      </c>
      <c r="AF19" s="172" t="e">
        <f t="shared" si="1"/>
        <v>#N/A</v>
      </c>
      <c r="AI19" s="172" t="b">
        <f>IF(W19=Data!$KK$2,Data!$KM$1,IF(W19=Data!$KK$3,Data!$KN$1,IF(W19=Data!$KK$4,Data!$KP$1,IF(W19=Data!$KK$5,Data!$KQ$1))))</f>
        <v>0</v>
      </c>
      <c r="AJ19" s="33" t="str">
        <f>IF(D19=Data!$W$10,Data!$QJ$1,Data!$QK$1)</f>
        <v>RollerControl</v>
      </c>
      <c r="AM19" s="33" t="b">
        <f>IF(S19=Data!$PX$2,Data!$PZ$1,IF(S19=Data!$PX$3,Data!$PY$1,IF(S19=Data!$PX$4,Data!$QA$1)))</f>
        <v>0</v>
      </c>
      <c r="AO19" s="33" t="b">
        <f>IF(S19=Data!$PX$3,Data!$QB$1,IF(S19=Data!$PX$2,Data!$QC$1,IF(S19=Data!$PX$4,Data!$QD$1)))</f>
        <v>0</v>
      </c>
      <c r="AQ19" s="33" t="str">
        <f>IF(D19=Data!$W$3,Data!$QF$1,IF(D19=Data!$W$4,Data!$QF$1,IF(D19=Data!$W$5,Data!$QF$1,IF(D19=Data!$W$6,Data!$QF$1,IF(D19=Data!$W$7,Data!$QF$1,IF(D19=Data!$W$8,Data!$QF$1,IF(D19=Data!$W$9,Data!$QF$1,IF(D19=Data!$W$10,Data!$QE$1,IF(D19=Data!$W$11,Data!$QF$1,IF(D19=Data!$W$12,Data!$QF$1,IF(D19=Data!$W$13,Data!$QF$1,IF(D19=Data!$W$14,Data!$QF$1,IF(D19=Data!$W$15,Data!$QF$1,IF(D19=Data!$W$16,Data!$QF$1))))))))))))))</f>
        <v>RollerBracketType2</v>
      </c>
      <c r="BA19" s="40" t="str">
        <f>IF(AND(F19&lt;2130, OR(G19&lt;2100)),Data!$KS$1,Data!$KT$1)</f>
        <v>Small_Tube</v>
      </c>
      <c r="BB19" s="172" t="e">
        <f>MATCH(W19,Data!$LA$1:$LD$1,0)</f>
        <v>#N/A</v>
      </c>
      <c r="BC19" s="172">
        <f>MATCH('Roller Blinds'!BA19,Data!$KZ$2:$KZ$3,0)</f>
        <v>1</v>
      </c>
      <c r="BD19" s="172" t="e">
        <f>INDEX(Data!$LA$2:$LD$3,'Roller Blinds'!BC19,'Roller Blinds'!BB19)</f>
        <v>#N/A</v>
      </c>
      <c r="BG19" s="172" t="b">
        <f>IF(O19=Data!$QK$2,Data!$QL$1,IF(O19=Data!$QK$3,Data!$QM$1,IF(O19=Data!$QK$4,Data!$QN$1,IF(O19=Data!$QK$5,Data!$QO$1,IF(O19=Data!$QK$6,Data!$QP$1,IF(O19=Data!$QK$7,Data!$QQ$1,IF(O19=Data!$QK$8,Data!$QR$1,IF(O19=Data!$QK$9,Data!$QS$1, IF(O19=Data!$QK$10,Data!$QV$1, IF(O19=Data!$QK$11,Data!$QW$1))))))))))</f>
        <v>0</v>
      </c>
      <c r="BH19" s="33" t="b">
        <f>IF(O19=Data!$QK$2,Data!$QL$17,IF(O19=Data!$QK$3,Data!$QM$17,IF(O19=Data!$QK$4,Data!$QN$17,IF(O19=Data!$QK$5,Data!$QO$17,IF(O19=Data!$QK$6,Data!$QP$17,IF(O19=Data!$QK$7,Data!$QQ$17,IF(O19=Data!$QK$8,Data!$QR$17,IF(O19=Data!$QK$9,Data!$QS$17,IF(O19=Data!$QK$10,Data!$QV$17,IF(O19=Data!$QK$11,Data!$QW$17))))))))))</f>
        <v>0</v>
      </c>
      <c r="BI19" s="33" t="e">
        <f>VLOOKUP(O19,Data!$PU$13:$PV$22,2,FALSE)</f>
        <v>#N/A</v>
      </c>
      <c r="BJ19" s="33" t="e">
        <f>MATCH('Roller Blinds'!D19,Data!$AAK$2:$AAK$15)</f>
        <v>#N/A</v>
      </c>
      <c r="BK19" s="33" t="e">
        <f>MATCH(L19,Data!$AAL$1:$AAM$1)</f>
        <v>#N/A</v>
      </c>
      <c r="BL19" s="33" t="e">
        <f>INDEX(Data!$AAL$2:$AAM$15,BJ19,BK19)</f>
        <v>#N/A</v>
      </c>
    </row>
    <row r="20" spans="1:64" ht="30" customHeight="1" thickTop="1" thickBot="1">
      <c r="A20" s="52">
        <v>13</v>
      </c>
      <c r="B20" s="17"/>
      <c r="C20" s="17"/>
      <c r="D20" s="13"/>
      <c r="E20" s="15"/>
      <c r="F20" s="10"/>
      <c r="G20" s="10"/>
      <c r="H20" s="14"/>
      <c r="I20" s="14"/>
      <c r="J20" s="525"/>
      <c r="K20" s="526"/>
      <c r="L20" s="15"/>
      <c r="M20" s="15"/>
      <c r="N20" s="15"/>
      <c r="O20" s="577"/>
      <c r="P20" s="578"/>
      <c r="Q20" s="13"/>
      <c r="R20" s="13"/>
      <c r="S20" s="13"/>
      <c r="T20" s="13"/>
      <c r="U20" s="13"/>
      <c r="V20" s="13"/>
      <c r="W20" s="13"/>
      <c r="X20" s="15"/>
      <c r="Y20" s="16"/>
      <c r="Z20" s="175"/>
      <c r="AA20" s="229"/>
      <c r="AB20" s="230"/>
      <c r="AC20" s="33" t="e">
        <f t="shared" si="0"/>
        <v>#N/A</v>
      </c>
      <c r="AD20" s="33" t="e">
        <f>VLOOKUP(S20,Data!$QH$2:$QI$4,2,FALSE)</f>
        <v>#N/A</v>
      </c>
      <c r="AF20" s="172" t="e">
        <f t="shared" si="1"/>
        <v>#N/A</v>
      </c>
      <c r="AI20" s="172" t="b">
        <f>IF(W20=Data!$KK$2,Data!$KM$1,IF(W20=Data!$KK$3,Data!$KN$1,IF(W20=Data!$KK$4,Data!$KP$1,IF(W20=Data!$KK$5,Data!$KQ$1))))</f>
        <v>0</v>
      </c>
      <c r="AJ20" s="33" t="str">
        <f>IF(D20=Data!$W$10,Data!$QJ$1,Data!$QK$1)</f>
        <v>RollerControl</v>
      </c>
      <c r="AM20" s="33" t="b">
        <f>IF(S20=Data!$PX$2,Data!$PZ$1,IF(S20=Data!$PX$3,Data!$PY$1,IF(S20=Data!$PX$4,Data!$QA$1)))</f>
        <v>0</v>
      </c>
      <c r="AO20" s="33" t="b">
        <f>IF(S20=Data!$PX$3,Data!$QB$1,IF(S20=Data!$PX$2,Data!$QC$1,IF(S20=Data!$PX$4,Data!$QD$1)))</f>
        <v>0</v>
      </c>
      <c r="AQ20" s="33" t="str">
        <f>IF(D20=Data!$W$3,Data!$QF$1,IF(D20=Data!$W$4,Data!$QF$1,IF(D20=Data!$W$5,Data!$QF$1,IF(D20=Data!$W$6,Data!$QF$1,IF(D20=Data!$W$7,Data!$QF$1,IF(D20=Data!$W$8,Data!$QF$1,IF(D20=Data!$W$9,Data!$QF$1,IF(D20=Data!$W$10,Data!$QE$1,IF(D20=Data!$W$11,Data!$QF$1,IF(D20=Data!$W$12,Data!$QF$1,IF(D20=Data!$W$13,Data!$QF$1,IF(D20=Data!$W$14,Data!$QF$1,IF(D20=Data!$W$15,Data!$QF$1,IF(D20=Data!$W$16,Data!$QF$1))))))))))))))</f>
        <v>RollerBracketType2</v>
      </c>
      <c r="BA20" s="40" t="str">
        <f>IF(AND(F20&lt;2130, OR(G20&lt;2100)),Data!$KS$1,Data!$KT$1)</f>
        <v>Small_Tube</v>
      </c>
      <c r="BB20" s="172" t="e">
        <f>MATCH(W20,Data!$LA$1:$LD$1,0)</f>
        <v>#N/A</v>
      </c>
      <c r="BC20" s="172">
        <f>MATCH('Roller Blinds'!BA20,Data!$KZ$2:$KZ$3,0)</f>
        <v>1</v>
      </c>
      <c r="BD20" s="172" t="e">
        <f>INDEX(Data!$LA$2:$LD$3,'Roller Blinds'!BC20,'Roller Blinds'!BB20)</f>
        <v>#N/A</v>
      </c>
      <c r="BG20" s="172" t="b">
        <f>IF(O20=Data!$QK$2,Data!$QL$1,IF(O20=Data!$QK$3,Data!$QM$1,IF(O20=Data!$QK$4,Data!$QN$1,IF(O20=Data!$QK$5,Data!$QO$1,IF(O20=Data!$QK$6,Data!$QP$1,IF(O20=Data!$QK$7,Data!$QQ$1,IF(O20=Data!$QK$8,Data!$QR$1,IF(O20=Data!$QK$9,Data!$QS$1, IF(O20=Data!$QK$10,Data!$QV$1, IF(O20=Data!$QK$11,Data!$QW$1))))))))))</f>
        <v>0</v>
      </c>
      <c r="BH20" s="33" t="b">
        <f>IF(O20=Data!$QK$2,Data!$QL$17,IF(O20=Data!$QK$3,Data!$QM$17,IF(O20=Data!$QK$4,Data!$QN$17,IF(O20=Data!$QK$5,Data!$QO$17,IF(O20=Data!$QK$6,Data!$QP$17,IF(O20=Data!$QK$7,Data!$QQ$17,IF(O20=Data!$QK$8,Data!$QR$17,IF(O20=Data!$QK$9,Data!$QS$17,IF(O20=Data!$QK$10,Data!$QV$17,IF(O20=Data!$QK$11,Data!$QW$17))))))))))</f>
        <v>0</v>
      </c>
      <c r="BI20" s="33" t="e">
        <f>VLOOKUP(O20,Data!$PU$13:$PV$22,2,FALSE)</f>
        <v>#N/A</v>
      </c>
      <c r="BJ20" s="33" t="e">
        <f>MATCH('Roller Blinds'!D20,Data!$AAK$2:$AAK$15)</f>
        <v>#N/A</v>
      </c>
      <c r="BK20" s="33" t="e">
        <f>MATCH(L20,Data!$AAL$1:$AAM$1)</f>
        <v>#N/A</v>
      </c>
      <c r="BL20" s="33" t="e">
        <f>INDEX(Data!$AAL$2:$AAM$15,BJ20,BK20)</f>
        <v>#N/A</v>
      </c>
    </row>
    <row r="21" spans="1:64" ht="30" customHeight="1" thickTop="1" thickBot="1">
      <c r="A21" s="52">
        <v>14</v>
      </c>
      <c r="B21" s="17"/>
      <c r="C21" s="17"/>
      <c r="D21" s="13"/>
      <c r="E21" s="15"/>
      <c r="F21" s="10"/>
      <c r="G21" s="10"/>
      <c r="H21" s="14"/>
      <c r="I21" s="14"/>
      <c r="J21" s="525"/>
      <c r="K21" s="526"/>
      <c r="L21" s="15"/>
      <c r="M21" s="15"/>
      <c r="N21" s="15"/>
      <c r="O21" s="577"/>
      <c r="P21" s="578"/>
      <c r="Q21" s="13"/>
      <c r="R21" s="13"/>
      <c r="S21" s="13"/>
      <c r="T21" s="13"/>
      <c r="U21" s="13"/>
      <c r="V21" s="13"/>
      <c r="W21" s="13"/>
      <c r="X21" s="15"/>
      <c r="Y21" s="16"/>
      <c r="Z21" s="175"/>
      <c r="AA21" s="229"/>
      <c r="AB21" s="230"/>
      <c r="AC21" s="33" t="e">
        <f t="shared" si="0"/>
        <v>#N/A</v>
      </c>
      <c r="AD21" s="33" t="e">
        <f>VLOOKUP(S21,Data!$QH$2:$QI$4,2,FALSE)</f>
        <v>#N/A</v>
      </c>
      <c r="AF21" s="172" t="e">
        <f t="shared" si="1"/>
        <v>#N/A</v>
      </c>
      <c r="AI21" s="172" t="b">
        <f>IF(W21=Data!$KK$2,Data!$KM$1,IF(W21=Data!$KK$3,Data!$KN$1,IF(W21=Data!$KK$4,Data!$KP$1,IF(W21=Data!$KK$5,Data!$KQ$1))))</f>
        <v>0</v>
      </c>
      <c r="AJ21" s="33" t="str">
        <f>IF(D21=Data!$W$10,Data!$QJ$1,Data!$QK$1)</f>
        <v>RollerControl</v>
      </c>
      <c r="AM21" s="33" t="b">
        <f>IF(S21=Data!$PX$2,Data!$PZ$1,IF(S21=Data!$PX$3,Data!$PY$1,IF(S21=Data!$PX$4,Data!$QA$1)))</f>
        <v>0</v>
      </c>
      <c r="AO21" s="33" t="b">
        <f>IF(S21=Data!$PX$3,Data!$QB$1,IF(S21=Data!$PX$2,Data!$QC$1,IF(S21=Data!$PX$4,Data!$QD$1)))</f>
        <v>0</v>
      </c>
      <c r="AQ21" s="33" t="str">
        <f>IF(D21=Data!$W$3,Data!$QF$1,IF(D21=Data!$W$4,Data!$QF$1,IF(D21=Data!$W$5,Data!$QF$1,IF(D21=Data!$W$6,Data!$QF$1,IF(D21=Data!$W$7,Data!$QF$1,IF(D21=Data!$W$8,Data!$QF$1,IF(D21=Data!$W$9,Data!$QF$1,IF(D21=Data!$W$10,Data!$QE$1,IF(D21=Data!$W$11,Data!$QF$1,IF(D21=Data!$W$12,Data!$QF$1,IF(D21=Data!$W$13,Data!$QF$1,IF(D21=Data!$W$14,Data!$QF$1,IF(D21=Data!$W$15,Data!$QF$1,IF(D21=Data!$W$16,Data!$QF$1))))))))))))))</f>
        <v>RollerBracketType2</v>
      </c>
      <c r="BA21" s="40" t="str">
        <f>IF(AND(F21&lt;2130, OR(G21&lt;2100)),Data!$KS$1,Data!$KT$1)</f>
        <v>Small_Tube</v>
      </c>
      <c r="BB21" s="172" t="e">
        <f>MATCH(W21,Data!$LA$1:$LD$1,0)</f>
        <v>#N/A</v>
      </c>
      <c r="BC21" s="172">
        <f>MATCH('Roller Blinds'!BA21,Data!$KZ$2:$KZ$3,0)</f>
        <v>1</v>
      </c>
      <c r="BD21" s="172" t="e">
        <f>INDEX(Data!$LA$2:$LD$3,'Roller Blinds'!BC21,'Roller Blinds'!BB21)</f>
        <v>#N/A</v>
      </c>
      <c r="BG21" s="172" t="b">
        <f>IF(O21=Data!$QK$2,Data!$QL$1,IF(O21=Data!$QK$3,Data!$QM$1,IF(O21=Data!$QK$4,Data!$QN$1,IF(O21=Data!$QK$5,Data!$QO$1,IF(O21=Data!$QK$6,Data!$QP$1,IF(O21=Data!$QK$7,Data!$QQ$1,IF(O21=Data!$QK$8,Data!$QR$1,IF(O21=Data!$QK$9,Data!$QS$1, IF(O21=Data!$QK$10,Data!$QV$1, IF(O21=Data!$QK$11,Data!$QW$1))))))))))</f>
        <v>0</v>
      </c>
      <c r="BH21" s="33" t="b">
        <f>IF(O21=Data!$QK$2,Data!$QL$17,IF(O21=Data!$QK$3,Data!$QM$17,IF(O21=Data!$QK$4,Data!$QN$17,IF(O21=Data!$QK$5,Data!$QO$17,IF(O21=Data!$QK$6,Data!$QP$17,IF(O21=Data!$QK$7,Data!$QQ$17,IF(O21=Data!$QK$8,Data!$QR$17,IF(O21=Data!$QK$9,Data!$QS$17,IF(O21=Data!$QK$10,Data!$QV$17,IF(O21=Data!$QK$11,Data!$QW$17))))))))))</f>
        <v>0</v>
      </c>
      <c r="BI21" s="33" t="e">
        <f>VLOOKUP(O21,Data!$PU$13:$PV$22,2,FALSE)</f>
        <v>#N/A</v>
      </c>
      <c r="BJ21" s="33" t="e">
        <f>MATCH('Roller Blinds'!D21,Data!$AAK$2:$AAK$15)</f>
        <v>#N/A</v>
      </c>
      <c r="BK21" s="33" t="e">
        <f>MATCH(L21,Data!$AAL$1:$AAM$1)</f>
        <v>#N/A</v>
      </c>
      <c r="BL21" s="33" t="e">
        <f>INDEX(Data!$AAL$2:$AAM$15,BJ21,BK21)</f>
        <v>#N/A</v>
      </c>
    </row>
    <row r="22" spans="1:64" ht="30" customHeight="1" thickTop="1" thickBot="1">
      <c r="A22" s="52">
        <v>15</v>
      </c>
      <c r="B22" s="17"/>
      <c r="C22" s="17"/>
      <c r="D22" s="13"/>
      <c r="E22" s="15"/>
      <c r="F22" s="10"/>
      <c r="G22" s="10"/>
      <c r="H22" s="14"/>
      <c r="I22" s="14"/>
      <c r="J22" s="525"/>
      <c r="K22" s="526"/>
      <c r="L22" s="15"/>
      <c r="M22" s="15"/>
      <c r="N22" s="15"/>
      <c r="O22" s="577"/>
      <c r="P22" s="578"/>
      <c r="Q22" s="13"/>
      <c r="R22" s="13"/>
      <c r="S22" s="13"/>
      <c r="T22" s="13"/>
      <c r="U22" s="13"/>
      <c r="V22" s="13"/>
      <c r="W22" s="13"/>
      <c r="X22" s="15"/>
      <c r="Y22" s="16"/>
      <c r="Z22" s="175"/>
      <c r="AA22" s="229"/>
      <c r="AB22" s="230"/>
      <c r="AC22" s="33" t="e">
        <f t="shared" si="0"/>
        <v>#N/A</v>
      </c>
      <c r="AD22" s="33" t="e">
        <f>VLOOKUP(S22,Data!$QH$2:$QI$4,2,FALSE)</f>
        <v>#N/A</v>
      </c>
      <c r="AF22" s="172" t="e">
        <f t="shared" si="1"/>
        <v>#N/A</v>
      </c>
      <c r="AI22" s="172" t="b">
        <f>IF(W22=Data!$KK$2,Data!$KM$1,IF(W22=Data!$KK$3,Data!$KN$1,IF(W22=Data!$KK$4,Data!$KP$1,IF(W22=Data!$KK$5,Data!$KQ$1))))</f>
        <v>0</v>
      </c>
      <c r="AJ22" s="33" t="str">
        <f>IF(D22=Data!$W$10,Data!$QJ$1,Data!$QK$1)</f>
        <v>RollerControl</v>
      </c>
      <c r="AM22" s="33" t="b">
        <f>IF(S22=Data!$PX$2,Data!$PZ$1,IF(S22=Data!$PX$3,Data!$PY$1,IF(S22=Data!$PX$4,Data!$QA$1)))</f>
        <v>0</v>
      </c>
      <c r="AO22" s="33" t="b">
        <f>IF(S22=Data!$PX$3,Data!$QB$1,IF(S22=Data!$PX$2,Data!$QC$1,IF(S22=Data!$PX$4,Data!$QD$1)))</f>
        <v>0</v>
      </c>
      <c r="AQ22" s="33" t="str">
        <f>IF(D22=Data!$W$3,Data!$QF$1,IF(D22=Data!$W$4,Data!$QF$1,IF(D22=Data!$W$5,Data!$QF$1,IF(D22=Data!$W$6,Data!$QF$1,IF(D22=Data!$W$7,Data!$QF$1,IF(D22=Data!$W$8,Data!$QF$1,IF(D22=Data!$W$9,Data!$QF$1,IF(D22=Data!$W$10,Data!$QE$1,IF(D22=Data!$W$11,Data!$QF$1,IF(D22=Data!$W$12,Data!$QF$1,IF(D22=Data!$W$13,Data!$QF$1,IF(D22=Data!$W$14,Data!$QF$1,IF(D22=Data!$W$15,Data!$QF$1,IF(D22=Data!$W$16,Data!$QF$1))))))))))))))</f>
        <v>RollerBracketType2</v>
      </c>
      <c r="BA22" s="40" t="str">
        <f>IF(AND(F22&lt;2130, OR(G22&lt;2100)),Data!$KS$1,Data!$KT$1)</f>
        <v>Small_Tube</v>
      </c>
      <c r="BB22" s="172" t="e">
        <f>MATCH(W22,Data!$LA$1:$LD$1,0)</f>
        <v>#N/A</v>
      </c>
      <c r="BC22" s="172">
        <f>MATCH('Roller Blinds'!BA22,Data!$KZ$2:$KZ$3,0)</f>
        <v>1</v>
      </c>
      <c r="BD22" s="172" t="e">
        <f>INDEX(Data!$LA$2:$LD$3,'Roller Blinds'!BC22,'Roller Blinds'!BB22)</f>
        <v>#N/A</v>
      </c>
      <c r="BG22" s="172" t="b">
        <f>IF(O22=Data!$QK$2,Data!$QL$1,IF(O22=Data!$QK$3,Data!$QM$1,IF(O22=Data!$QK$4,Data!$QN$1,IF(O22=Data!$QK$5,Data!$QO$1,IF(O22=Data!$QK$6,Data!$QP$1,IF(O22=Data!$QK$7,Data!$QQ$1,IF(O22=Data!$QK$8,Data!$QR$1,IF(O22=Data!$QK$9,Data!$QS$1, IF(O22=Data!$QK$10,Data!$QV$1, IF(O22=Data!$QK$11,Data!$QW$1))))))))))</f>
        <v>0</v>
      </c>
      <c r="BH22" s="33" t="b">
        <f>IF(O22=Data!$QK$2,Data!$QL$17,IF(O22=Data!$QK$3,Data!$QM$17,IF(O22=Data!$QK$4,Data!$QN$17,IF(O22=Data!$QK$5,Data!$QO$17,IF(O22=Data!$QK$6,Data!$QP$17,IF(O22=Data!$QK$7,Data!$QQ$17,IF(O22=Data!$QK$8,Data!$QR$17,IF(O22=Data!$QK$9,Data!$QS$17,IF(O22=Data!$QK$10,Data!$QV$17,IF(O22=Data!$QK$11,Data!$QW$17))))))))))</f>
        <v>0</v>
      </c>
      <c r="BI22" s="33" t="e">
        <f>VLOOKUP(O22,Data!$PU$13:$PV$22,2,FALSE)</f>
        <v>#N/A</v>
      </c>
      <c r="BJ22" s="33" t="e">
        <f>MATCH('Roller Blinds'!D22,Data!$AAK$2:$AAK$15)</f>
        <v>#N/A</v>
      </c>
      <c r="BK22" s="33" t="e">
        <f>MATCH(L22,Data!$AAL$1:$AAM$1)</f>
        <v>#N/A</v>
      </c>
      <c r="BL22" s="33" t="e">
        <f>INDEX(Data!$AAL$2:$AAM$15,BJ22,BK22)</f>
        <v>#N/A</v>
      </c>
    </row>
    <row r="23" spans="1:64" ht="30" customHeight="1" thickTop="1" thickBot="1">
      <c r="A23" s="52">
        <v>16</v>
      </c>
      <c r="B23" s="17"/>
      <c r="C23" s="17"/>
      <c r="D23" s="13"/>
      <c r="E23" s="15"/>
      <c r="F23" s="10"/>
      <c r="G23" s="10"/>
      <c r="H23" s="14"/>
      <c r="I23" s="14"/>
      <c r="J23" s="525"/>
      <c r="K23" s="526"/>
      <c r="L23" s="15"/>
      <c r="M23" s="15"/>
      <c r="N23" s="15"/>
      <c r="O23" s="577"/>
      <c r="P23" s="578"/>
      <c r="Q23" s="13"/>
      <c r="R23" s="13"/>
      <c r="S23" s="13"/>
      <c r="T23" s="13"/>
      <c r="U23" s="13"/>
      <c r="V23" s="13"/>
      <c r="W23" s="13"/>
      <c r="X23" s="15"/>
      <c r="Y23" s="16"/>
      <c r="Z23" s="175"/>
      <c r="AA23" s="229"/>
      <c r="AB23" s="230"/>
      <c r="AC23" s="33" t="e">
        <f t="shared" si="0"/>
        <v>#N/A</v>
      </c>
      <c r="AD23" s="33" t="e">
        <f>VLOOKUP(S23,Data!$QH$2:$QI$4,2,FALSE)</f>
        <v>#N/A</v>
      </c>
      <c r="AF23" s="172" t="e">
        <f t="shared" si="1"/>
        <v>#N/A</v>
      </c>
      <c r="AI23" s="172" t="b">
        <f>IF(W23=Data!$KK$2,Data!$KM$1,IF(W23=Data!$KK$3,Data!$KN$1,IF(W23=Data!$KK$4,Data!$KP$1,IF(W23=Data!$KK$5,Data!$KQ$1))))</f>
        <v>0</v>
      </c>
      <c r="AJ23" s="33" t="str">
        <f>IF(D23=Data!$W$10,Data!$QJ$1,Data!$QK$1)</f>
        <v>RollerControl</v>
      </c>
      <c r="AM23" s="33" t="b">
        <f>IF(S23=Data!$PX$2,Data!$PZ$1,IF(S23=Data!$PX$3,Data!$PY$1,IF(S23=Data!$PX$4,Data!$QA$1)))</f>
        <v>0</v>
      </c>
      <c r="AO23" s="33" t="b">
        <f>IF(S23=Data!$PX$3,Data!$QB$1,IF(S23=Data!$PX$2,Data!$QC$1,IF(S23=Data!$PX$4,Data!$QD$1)))</f>
        <v>0</v>
      </c>
      <c r="AQ23" s="33" t="str">
        <f>IF(D23=Data!$W$3,Data!$QF$1,IF(D23=Data!$W$4,Data!$QF$1,IF(D23=Data!$W$5,Data!$QF$1,IF(D23=Data!$W$6,Data!$QF$1,IF(D23=Data!$W$7,Data!$QF$1,IF(D23=Data!$W$8,Data!$QF$1,IF(D23=Data!$W$9,Data!$QF$1,IF(D23=Data!$W$10,Data!$QE$1,IF(D23=Data!$W$11,Data!$QF$1,IF(D23=Data!$W$12,Data!$QF$1,IF(D23=Data!$W$13,Data!$QF$1,IF(D23=Data!$W$14,Data!$QF$1,IF(D23=Data!$W$15,Data!$QF$1,IF(D23=Data!$W$16,Data!$QF$1))))))))))))))</f>
        <v>RollerBracketType2</v>
      </c>
      <c r="BA23" s="40" t="str">
        <f>IF(AND(F23&lt;2130, OR(G23&lt;2100)),Data!$KS$1,Data!$KT$1)</f>
        <v>Small_Tube</v>
      </c>
      <c r="BB23" s="172" t="e">
        <f>MATCH(W23,Data!$LA$1:$LD$1,0)</f>
        <v>#N/A</v>
      </c>
      <c r="BC23" s="172">
        <f>MATCH('Roller Blinds'!BA23,Data!$KZ$2:$KZ$3,0)</f>
        <v>1</v>
      </c>
      <c r="BD23" s="172" t="e">
        <f>INDEX(Data!$LA$2:$LD$3,'Roller Blinds'!BC23,'Roller Blinds'!BB23)</f>
        <v>#N/A</v>
      </c>
      <c r="BG23" s="172" t="b">
        <f>IF(O23=Data!$QK$2,Data!$QL$1,IF(O23=Data!$QK$3,Data!$QM$1,IF(O23=Data!$QK$4,Data!$QN$1,IF(O23=Data!$QK$5,Data!$QO$1,IF(O23=Data!$QK$6,Data!$QP$1,IF(O23=Data!$QK$7,Data!$QQ$1,IF(O23=Data!$QK$8,Data!$QR$1,IF(O23=Data!$QK$9,Data!$QS$1, IF(O23=Data!$QK$10,Data!$QV$1, IF(O23=Data!$QK$11,Data!$QW$1))))))))))</f>
        <v>0</v>
      </c>
      <c r="BH23" s="33" t="b">
        <f>IF(O23=Data!$QK$2,Data!$QL$17,IF(O23=Data!$QK$3,Data!$QM$17,IF(O23=Data!$QK$4,Data!$QN$17,IF(O23=Data!$QK$5,Data!$QO$17,IF(O23=Data!$QK$6,Data!$QP$17,IF(O23=Data!$QK$7,Data!$QQ$17,IF(O23=Data!$QK$8,Data!$QR$17,IF(O23=Data!$QK$9,Data!$QS$17,IF(O23=Data!$QK$10,Data!$QV$17,IF(O23=Data!$QK$11,Data!$QW$17))))))))))</f>
        <v>0</v>
      </c>
      <c r="BI23" s="33" t="e">
        <f>VLOOKUP(O23,Data!$PU$13:$PV$22,2,FALSE)</f>
        <v>#N/A</v>
      </c>
      <c r="BJ23" s="33" t="e">
        <f>MATCH('Roller Blinds'!D23,Data!$AAK$2:$AAK$15)</f>
        <v>#N/A</v>
      </c>
      <c r="BK23" s="33" t="e">
        <f>MATCH(L23,Data!$AAL$1:$AAM$1)</f>
        <v>#N/A</v>
      </c>
      <c r="BL23" s="33" t="e">
        <f>INDEX(Data!$AAL$2:$AAM$15,BJ23,BK23)</f>
        <v>#N/A</v>
      </c>
    </row>
    <row r="24" spans="1:64" ht="30" customHeight="1" thickTop="1" thickBot="1">
      <c r="A24" s="52">
        <v>17</v>
      </c>
      <c r="B24" s="17"/>
      <c r="C24" s="17"/>
      <c r="D24" s="19"/>
      <c r="E24" s="15"/>
      <c r="F24" s="10"/>
      <c r="G24" s="10"/>
      <c r="H24" s="14"/>
      <c r="I24" s="14"/>
      <c r="J24" s="525"/>
      <c r="K24" s="526"/>
      <c r="L24" s="15"/>
      <c r="M24" s="15"/>
      <c r="N24" s="15"/>
      <c r="O24" s="577"/>
      <c r="P24" s="578"/>
      <c r="Q24" s="13"/>
      <c r="R24" s="13"/>
      <c r="S24" s="13"/>
      <c r="T24" s="13"/>
      <c r="U24" s="13"/>
      <c r="V24" s="13"/>
      <c r="W24" s="13"/>
      <c r="X24" s="15"/>
      <c r="Y24" s="16"/>
      <c r="Z24" s="175"/>
      <c r="AA24" s="229"/>
      <c r="AB24" s="230"/>
      <c r="AC24" s="33" t="e">
        <f t="shared" si="0"/>
        <v>#N/A</v>
      </c>
      <c r="AD24" s="33" t="e">
        <f>VLOOKUP(S24,Data!$QH$2:$QI$4,2,FALSE)</f>
        <v>#N/A</v>
      </c>
      <c r="AF24" s="172" t="e">
        <f t="shared" si="1"/>
        <v>#N/A</v>
      </c>
      <c r="AI24" s="172" t="b">
        <f>IF(W24=Data!$KK$2,Data!$KM$1,IF(W24=Data!$KK$3,Data!$KN$1,IF(W24=Data!$KK$4,Data!$KP$1,IF(W24=Data!$KK$5,Data!$KQ$1))))</f>
        <v>0</v>
      </c>
      <c r="AJ24" s="33" t="str">
        <f>IF(D24=Data!$W$10,Data!$QJ$1,Data!$QK$1)</f>
        <v>RollerControl</v>
      </c>
      <c r="AM24" s="33" t="b">
        <f>IF(S24=Data!$PX$2,Data!$PZ$1,IF(S24=Data!$PX$3,Data!$PY$1,IF(S24=Data!$PX$4,Data!$QA$1)))</f>
        <v>0</v>
      </c>
      <c r="AO24" s="33" t="b">
        <f>IF(S24=Data!$PX$3,Data!$QB$1,IF(S24=Data!$PX$2,Data!$QC$1,IF(S24=Data!$PX$4,Data!$QD$1)))</f>
        <v>0</v>
      </c>
      <c r="AQ24" s="33" t="str">
        <f>IF(D24=Data!$W$3,Data!$QF$1,IF(D24=Data!$W$4,Data!$QF$1,IF(D24=Data!$W$5,Data!$QF$1,IF(D24=Data!$W$6,Data!$QF$1,IF(D24=Data!$W$7,Data!$QF$1,IF(D24=Data!$W$8,Data!$QF$1,IF(D24=Data!$W$9,Data!$QF$1,IF(D24=Data!$W$10,Data!$QE$1,IF(D24=Data!$W$11,Data!$QF$1,IF(D24=Data!$W$12,Data!$QF$1,IF(D24=Data!$W$13,Data!$QF$1,IF(D24=Data!$W$14,Data!$QF$1,IF(D24=Data!$W$15,Data!$QF$1,IF(D24=Data!$W$16,Data!$QF$1))))))))))))))</f>
        <v>RollerBracketType2</v>
      </c>
      <c r="BA24" s="40" t="str">
        <f>IF(AND(F24&lt;2130, OR(G24&lt;2100)),Data!$KS$1,Data!$KT$1)</f>
        <v>Small_Tube</v>
      </c>
      <c r="BB24" s="172" t="e">
        <f>MATCH(W24,Data!$LA$1:$LD$1,0)</f>
        <v>#N/A</v>
      </c>
      <c r="BC24" s="172">
        <f>MATCH('Roller Blinds'!BA24,Data!$KZ$2:$KZ$3,0)</f>
        <v>1</v>
      </c>
      <c r="BD24" s="172" t="e">
        <f>INDEX(Data!$LA$2:$LD$3,'Roller Blinds'!BC24,'Roller Blinds'!BB24)</f>
        <v>#N/A</v>
      </c>
      <c r="BG24" s="172" t="b">
        <f>IF(O24=Data!$QK$2,Data!$QL$1,IF(O24=Data!$QK$3,Data!$QM$1,IF(O24=Data!$QK$4,Data!$QN$1,IF(O24=Data!$QK$5,Data!$QO$1,IF(O24=Data!$QK$6,Data!$QP$1,IF(O24=Data!$QK$7,Data!$QQ$1,IF(O24=Data!$QK$8,Data!$QR$1,IF(O24=Data!$QK$9,Data!$QS$1, IF(O24=Data!$QK$10,Data!$QV$1, IF(O24=Data!$QK$11,Data!$QW$1))))))))))</f>
        <v>0</v>
      </c>
      <c r="BH24" s="33" t="b">
        <f>IF(O24=Data!$QK$2,Data!$QL$17,IF(O24=Data!$QK$3,Data!$QM$17,IF(O24=Data!$QK$4,Data!$QN$17,IF(O24=Data!$QK$5,Data!$QO$17,IF(O24=Data!$QK$6,Data!$QP$17,IF(O24=Data!$QK$7,Data!$QQ$17,IF(O24=Data!$QK$8,Data!$QR$17,IF(O24=Data!$QK$9,Data!$QS$17,IF(O24=Data!$QK$10,Data!$QV$17,IF(O24=Data!$QK$11,Data!$QW$17))))))))))</f>
        <v>0</v>
      </c>
      <c r="BI24" s="33" t="e">
        <f>VLOOKUP(O24,Data!$PU$13:$PV$22,2,FALSE)</f>
        <v>#N/A</v>
      </c>
      <c r="BJ24" s="33" t="e">
        <f>MATCH('Roller Blinds'!D24,Data!$AAK$2:$AAK$15)</f>
        <v>#N/A</v>
      </c>
      <c r="BK24" s="33" t="e">
        <f>MATCH(L24,Data!$AAL$1:$AAM$1)</f>
        <v>#N/A</v>
      </c>
      <c r="BL24" s="33" t="e">
        <f>INDEX(Data!$AAL$2:$AAM$15,BJ24,BK24)</f>
        <v>#N/A</v>
      </c>
    </row>
    <row r="25" spans="1:64" ht="30" customHeight="1" thickTop="1" thickBot="1">
      <c r="A25" s="52">
        <v>18</v>
      </c>
      <c r="B25" s="17"/>
      <c r="C25" s="17"/>
      <c r="D25" s="19"/>
      <c r="E25" s="15"/>
      <c r="F25" s="10"/>
      <c r="G25" s="10"/>
      <c r="H25" s="14"/>
      <c r="I25" s="14"/>
      <c r="J25" s="525"/>
      <c r="K25" s="526"/>
      <c r="L25" s="15"/>
      <c r="M25" s="15"/>
      <c r="N25" s="15"/>
      <c r="O25" s="577"/>
      <c r="P25" s="578"/>
      <c r="Q25" s="13"/>
      <c r="R25" s="13"/>
      <c r="S25" s="13"/>
      <c r="T25" s="13"/>
      <c r="U25" s="13"/>
      <c r="V25" s="13"/>
      <c r="W25" s="13"/>
      <c r="X25" s="15"/>
      <c r="Y25" s="16"/>
      <c r="Z25" s="175"/>
      <c r="AA25" s="229"/>
      <c r="AB25" s="230"/>
      <c r="AC25" s="33" t="e">
        <f t="shared" si="0"/>
        <v>#N/A</v>
      </c>
      <c r="AD25" s="33" t="e">
        <f>VLOOKUP(S25,Data!$QH$2:$QI$4,2,FALSE)</f>
        <v>#N/A</v>
      </c>
      <c r="AF25" s="172" t="e">
        <f t="shared" si="1"/>
        <v>#N/A</v>
      </c>
      <c r="AI25" s="172" t="b">
        <f>IF(W25=Data!$KK$2,Data!$KM$1,IF(W25=Data!$KK$3,Data!$KN$1,IF(W25=Data!$KK$4,Data!$KP$1,IF(W25=Data!$KK$5,Data!$KQ$1))))</f>
        <v>0</v>
      </c>
      <c r="AJ25" s="33" t="str">
        <f>IF(D25=Data!$W$10,Data!$QJ$1,Data!$QK$1)</f>
        <v>RollerControl</v>
      </c>
      <c r="AM25" s="33" t="b">
        <f>IF(S25=Data!$PX$2,Data!$PZ$1,IF(S25=Data!$PX$3,Data!$PY$1,IF(S25=Data!$PX$4,Data!$QA$1)))</f>
        <v>0</v>
      </c>
      <c r="AO25" s="33" t="b">
        <f>IF(S25=Data!$PX$3,Data!$QB$1,IF(S25=Data!$PX$2,Data!$QC$1,IF(S25=Data!$PX$4,Data!$QD$1)))</f>
        <v>0</v>
      </c>
      <c r="AQ25" s="33" t="str">
        <f>IF(D25=Data!$W$3,Data!$QF$1,IF(D25=Data!$W$4,Data!$QF$1,IF(D25=Data!$W$5,Data!$QF$1,IF(D25=Data!$W$6,Data!$QF$1,IF(D25=Data!$W$7,Data!$QF$1,IF(D25=Data!$W$8,Data!$QF$1,IF(D25=Data!$W$9,Data!$QF$1,IF(D25=Data!$W$10,Data!$QE$1,IF(D25=Data!$W$11,Data!$QF$1,IF(D25=Data!$W$12,Data!$QF$1,IF(D25=Data!$W$13,Data!$QF$1,IF(D25=Data!$W$14,Data!$QF$1,IF(D25=Data!$W$15,Data!$QF$1,IF(D25=Data!$W$16,Data!$QF$1))))))))))))))</f>
        <v>RollerBracketType2</v>
      </c>
      <c r="BA25" s="40" t="str">
        <f>IF(AND(F25&lt;2130, OR(G25&lt;2100)),Data!$KS$1,Data!$KT$1)</f>
        <v>Small_Tube</v>
      </c>
      <c r="BB25" s="172" t="e">
        <f>MATCH(W25,Data!$LA$1:$LD$1,0)</f>
        <v>#N/A</v>
      </c>
      <c r="BC25" s="172">
        <f>MATCH('Roller Blinds'!BA25,Data!$KZ$2:$KZ$3,0)</f>
        <v>1</v>
      </c>
      <c r="BD25" s="172" t="e">
        <f>INDEX(Data!$LA$2:$LD$3,'Roller Blinds'!BC25,'Roller Blinds'!BB25)</f>
        <v>#N/A</v>
      </c>
      <c r="BG25" s="172" t="b">
        <f>IF(O25=Data!$QK$2,Data!$QL$1,IF(O25=Data!$QK$3,Data!$QM$1,IF(O25=Data!$QK$4,Data!$QN$1,IF(O25=Data!$QK$5,Data!$QO$1,IF(O25=Data!$QK$6,Data!$QP$1,IF(O25=Data!$QK$7,Data!$QQ$1,IF(O25=Data!$QK$8,Data!$QR$1,IF(O25=Data!$QK$9,Data!$QS$1, IF(O25=Data!$QK$10,Data!$QV$1, IF(O25=Data!$QK$11,Data!$QW$1))))))))))</f>
        <v>0</v>
      </c>
      <c r="BH25" s="33" t="b">
        <f>IF(O25=Data!$QK$2,Data!$QL$17,IF(O25=Data!$QK$3,Data!$QM$17,IF(O25=Data!$QK$4,Data!$QN$17,IF(O25=Data!$QK$5,Data!$QO$17,IF(O25=Data!$QK$6,Data!$QP$17,IF(O25=Data!$QK$7,Data!$QQ$17,IF(O25=Data!$QK$8,Data!$QR$17,IF(O25=Data!$QK$9,Data!$QS$17,IF(O25=Data!$QK$10,Data!$QV$17,IF(O25=Data!$QK$11,Data!$QW$17))))))))))</f>
        <v>0</v>
      </c>
      <c r="BI25" s="33" t="e">
        <f>VLOOKUP(O25,Data!$PU$13:$PV$22,2,FALSE)</f>
        <v>#N/A</v>
      </c>
      <c r="BJ25" s="33" t="e">
        <f>MATCH('Roller Blinds'!D25,Data!$AAK$2:$AAK$15)</f>
        <v>#N/A</v>
      </c>
      <c r="BK25" s="33" t="e">
        <f>MATCH(L25,Data!$AAL$1:$AAM$1)</f>
        <v>#N/A</v>
      </c>
      <c r="BL25" s="33" t="e">
        <f>INDEX(Data!$AAL$2:$AAM$15,BJ25,BK25)</f>
        <v>#N/A</v>
      </c>
    </row>
    <row r="26" spans="1:64" ht="30" customHeight="1" thickTop="1" thickBot="1">
      <c r="A26" s="52">
        <v>19</v>
      </c>
      <c r="B26" s="17"/>
      <c r="C26" s="17"/>
      <c r="D26" s="19"/>
      <c r="E26" s="15"/>
      <c r="F26" s="10"/>
      <c r="G26" s="10"/>
      <c r="H26" s="14"/>
      <c r="I26" s="14"/>
      <c r="J26" s="525"/>
      <c r="K26" s="526"/>
      <c r="L26" s="15"/>
      <c r="M26" s="15"/>
      <c r="N26" s="15"/>
      <c r="O26" s="577"/>
      <c r="P26" s="578"/>
      <c r="Q26" s="13"/>
      <c r="R26" s="13"/>
      <c r="S26" s="13"/>
      <c r="T26" s="13"/>
      <c r="U26" s="13"/>
      <c r="V26" s="13"/>
      <c r="W26" s="13"/>
      <c r="X26" s="15"/>
      <c r="Y26" s="16"/>
      <c r="Z26" s="175"/>
      <c r="AA26" s="229"/>
      <c r="AB26" s="230"/>
      <c r="AC26" s="33" t="e">
        <f t="shared" si="0"/>
        <v>#N/A</v>
      </c>
      <c r="AD26" s="33" t="e">
        <f>VLOOKUP(S26,Data!$QH$2:$QI$4,2,FALSE)</f>
        <v>#N/A</v>
      </c>
      <c r="AF26" s="172" t="e">
        <f t="shared" si="1"/>
        <v>#N/A</v>
      </c>
      <c r="AI26" s="172" t="b">
        <f>IF(W26=Data!$KK$2,Data!$KM$1,IF(W26=Data!$KK$3,Data!$KN$1,IF(W26=Data!$KK$4,Data!$KP$1,IF(W26=Data!$KK$5,Data!$KQ$1))))</f>
        <v>0</v>
      </c>
      <c r="AJ26" s="33" t="str">
        <f>IF(D26=Data!$W$10,Data!$QJ$1,Data!$QK$1)</f>
        <v>RollerControl</v>
      </c>
      <c r="AM26" s="33" t="b">
        <f>IF(S26=Data!$PX$2,Data!$PZ$1,IF(S26=Data!$PX$3,Data!$PY$1,IF(S26=Data!$PX$4,Data!$QA$1)))</f>
        <v>0</v>
      </c>
      <c r="AO26" s="33" t="b">
        <f>IF(S26=Data!$PX$3,Data!$QB$1,IF(S26=Data!$PX$2,Data!$QC$1,IF(S26=Data!$PX$4,Data!$QD$1)))</f>
        <v>0</v>
      </c>
      <c r="AQ26" s="33" t="str">
        <f>IF(D26=Data!$W$3,Data!$QF$1,IF(D26=Data!$W$4,Data!$QF$1,IF(D26=Data!$W$5,Data!$QF$1,IF(D26=Data!$W$6,Data!$QF$1,IF(D26=Data!$W$7,Data!$QF$1,IF(D26=Data!$W$8,Data!$QF$1,IF(D26=Data!$W$9,Data!$QF$1,IF(D26=Data!$W$10,Data!$QE$1,IF(D26=Data!$W$11,Data!$QF$1,IF(D26=Data!$W$12,Data!$QF$1,IF(D26=Data!$W$13,Data!$QF$1,IF(D26=Data!$W$14,Data!$QF$1,IF(D26=Data!$W$15,Data!$QF$1,IF(D26=Data!$W$16,Data!$QF$1))))))))))))))</f>
        <v>RollerBracketType2</v>
      </c>
      <c r="BA26" s="40" t="str">
        <f>IF(AND(F26&lt;2130, OR(G26&lt;2100)),Data!$KS$1,Data!$KT$1)</f>
        <v>Small_Tube</v>
      </c>
      <c r="BB26" s="172" t="e">
        <f>MATCH(W26,Data!$LA$1:$LD$1,0)</f>
        <v>#N/A</v>
      </c>
      <c r="BC26" s="172">
        <f>MATCH('Roller Blinds'!BA26,Data!$KZ$2:$KZ$3,0)</f>
        <v>1</v>
      </c>
      <c r="BD26" s="172" t="e">
        <f>INDEX(Data!$LA$2:$LD$3,'Roller Blinds'!BC26,'Roller Blinds'!BB26)</f>
        <v>#N/A</v>
      </c>
      <c r="BG26" s="172" t="b">
        <f>IF(O26=Data!$QK$2,Data!$QL$1,IF(O26=Data!$QK$3,Data!$QM$1,IF(O26=Data!$QK$4,Data!$QN$1,IF(O26=Data!$QK$5,Data!$QO$1,IF(O26=Data!$QK$6,Data!$QP$1,IF(O26=Data!$QK$7,Data!$QQ$1,IF(O26=Data!$QK$8,Data!$QR$1,IF(O26=Data!$QK$9,Data!$QS$1, IF(O26=Data!$QK$10,Data!$QV$1, IF(O26=Data!$QK$11,Data!$QW$1))))))))))</f>
        <v>0</v>
      </c>
      <c r="BH26" s="33" t="b">
        <f>IF(O26=Data!$QK$2,Data!$QL$17,IF(O26=Data!$QK$3,Data!$QM$17,IF(O26=Data!$QK$4,Data!$QN$17,IF(O26=Data!$QK$5,Data!$QO$17,IF(O26=Data!$QK$6,Data!$QP$17,IF(O26=Data!$QK$7,Data!$QQ$17,IF(O26=Data!$QK$8,Data!$QR$17,IF(O26=Data!$QK$9,Data!$QS$17,IF(O26=Data!$QK$10,Data!$QV$17,IF(O26=Data!$QK$11,Data!$QW$17))))))))))</f>
        <v>0</v>
      </c>
      <c r="BI26" s="33" t="e">
        <f>VLOOKUP(O26,Data!$PU$13:$PV$22,2,FALSE)</f>
        <v>#N/A</v>
      </c>
      <c r="BJ26" s="33" t="e">
        <f>MATCH('Roller Blinds'!D26,Data!$AAK$2:$AAK$15)</f>
        <v>#N/A</v>
      </c>
      <c r="BK26" s="33" t="e">
        <f>MATCH(L26,Data!$AAL$1:$AAM$1)</f>
        <v>#N/A</v>
      </c>
      <c r="BL26" s="33" t="e">
        <f>INDEX(Data!$AAL$2:$AAM$15,BJ26,BK26)</f>
        <v>#N/A</v>
      </c>
    </row>
    <row r="27" spans="1:64" ht="30" customHeight="1" thickTop="1" thickBot="1">
      <c r="A27" s="52">
        <v>20</v>
      </c>
      <c r="B27" s="13"/>
      <c r="C27" s="13"/>
      <c r="D27" s="13"/>
      <c r="E27" s="15"/>
      <c r="F27" s="10"/>
      <c r="G27" s="10"/>
      <c r="H27" s="14"/>
      <c r="I27" s="14"/>
      <c r="J27" s="525"/>
      <c r="K27" s="526"/>
      <c r="L27" s="15"/>
      <c r="M27" s="15"/>
      <c r="N27" s="15"/>
      <c r="O27" s="577"/>
      <c r="P27" s="578"/>
      <c r="Q27" s="13"/>
      <c r="R27" s="13"/>
      <c r="S27" s="13"/>
      <c r="T27" s="13"/>
      <c r="U27" s="13"/>
      <c r="V27" s="13"/>
      <c r="W27" s="13"/>
      <c r="X27" s="15"/>
      <c r="Y27" s="16"/>
      <c r="Z27" s="175"/>
      <c r="AA27" s="229"/>
      <c r="AB27" s="230"/>
      <c r="AC27" s="33" t="e">
        <f t="shared" si="0"/>
        <v>#N/A</v>
      </c>
      <c r="AD27" s="33" t="e">
        <f>VLOOKUP(S27,Data!$QH$2:$QI$4,2,FALSE)</f>
        <v>#N/A</v>
      </c>
      <c r="AF27" s="172" t="e">
        <f t="shared" si="1"/>
        <v>#N/A</v>
      </c>
      <c r="AI27" s="172" t="b">
        <f>IF(W27=Data!$KK$2,Data!$KM$1,IF(W27=Data!$KK$3,Data!$KN$1,IF(W27=Data!$KK$4,Data!$KP$1,IF(W27=Data!$KK$5,Data!$KQ$1))))</f>
        <v>0</v>
      </c>
      <c r="AJ27" s="33" t="str">
        <f>IF(D27=Data!$W$10,Data!$QJ$1,Data!$QK$1)</f>
        <v>RollerControl</v>
      </c>
      <c r="AM27" s="33" t="b">
        <f>IF(S27=Data!$PX$2,Data!$PZ$1,IF(S27=Data!$PX$3,Data!$PY$1,IF(S27=Data!$PX$4,Data!$QA$1)))</f>
        <v>0</v>
      </c>
      <c r="AO27" s="33" t="b">
        <f>IF(S27=Data!$PX$3,Data!$QB$1,IF(S27=Data!$PX$2,Data!$QC$1,IF(S27=Data!$PX$4,Data!$QD$1)))</f>
        <v>0</v>
      </c>
      <c r="AQ27" s="33" t="str">
        <f>IF(D27=Data!$W$3,Data!$QF$1,IF(D27=Data!$W$4,Data!$QF$1,IF(D27=Data!$W$5,Data!$QF$1,IF(D27=Data!$W$6,Data!$QF$1,IF(D27=Data!$W$7,Data!$QF$1,IF(D27=Data!$W$8,Data!$QF$1,IF(D27=Data!$W$9,Data!$QF$1,IF(D27=Data!$W$10,Data!$QE$1,IF(D27=Data!$W$11,Data!$QF$1,IF(D27=Data!$W$12,Data!$QF$1,IF(D27=Data!$W$13,Data!$QF$1,IF(D27=Data!$W$14,Data!$QF$1,IF(D27=Data!$W$15,Data!$QF$1,IF(D27=Data!$W$16,Data!$QF$1))))))))))))))</f>
        <v>RollerBracketType2</v>
      </c>
      <c r="BA27" s="40" t="str">
        <f>IF(AND(F27&lt;2130, OR(G27&lt;2100)),Data!$KS$1,Data!$KT$1)</f>
        <v>Small_Tube</v>
      </c>
      <c r="BB27" s="172" t="e">
        <f>MATCH(W27,Data!$LA$1:$LD$1,0)</f>
        <v>#N/A</v>
      </c>
      <c r="BC27" s="172">
        <f>MATCH('Roller Blinds'!BA27,Data!$KZ$2:$KZ$3,0)</f>
        <v>1</v>
      </c>
      <c r="BD27" s="172" t="e">
        <f>INDEX(Data!$LA$2:$LD$3,'Roller Blinds'!BC27,'Roller Blinds'!BB27)</f>
        <v>#N/A</v>
      </c>
      <c r="BG27" s="172" t="b">
        <f>IF(O27=Data!$QK$2,Data!$QL$1,IF(O27=Data!$QK$3,Data!$QM$1,IF(O27=Data!$QK$4,Data!$QN$1,IF(O27=Data!$QK$5,Data!$QO$1,IF(O27=Data!$QK$6,Data!$QP$1,IF(O27=Data!$QK$7,Data!$QQ$1,IF(O27=Data!$QK$8,Data!$QR$1,IF(O27=Data!$QK$9,Data!$QS$1, IF(O27=Data!$QK$10,Data!$QV$1, IF(O27=Data!$QK$11,Data!$QW$1))))))))))</f>
        <v>0</v>
      </c>
      <c r="BH27" s="33" t="b">
        <f>IF(O27=Data!$QK$2,Data!$QL$17,IF(O27=Data!$QK$3,Data!$QM$17,IF(O27=Data!$QK$4,Data!$QN$17,IF(O27=Data!$QK$5,Data!$QO$17,IF(O27=Data!$QK$6,Data!$QP$17,IF(O27=Data!$QK$7,Data!$QQ$17,IF(O27=Data!$QK$8,Data!$QR$17,IF(O27=Data!$QK$9,Data!$QS$17,IF(O27=Data!$QK$10,Data!$QV$17,IF(O27=Data!$QK$11,Data!$QW$17))))))))))</f>
        <v>0</v>
      </c>
      <c r="BI27" s="33" t="e">
        <f>VLOOKUP(O27,Data!$PU$13:$PV$22,2,FALSE)</f>
        <v>#N/A</v>
      </c>
      <c r="BJ27" s="33" t="e">
        <f>MATCH('Roller Blinds'!D27,Data!$AAK$2:$AAK$15)</f>
        <v>#N/A</v>
      </c>
      <c r="BK27" s="33" t="e">
        <f>MATCH(L27,Data!$AAL$1:$AAM$1)</f>
        <v>#N/A</v>
      </c>
      <c r="BL27" s="33" t="e">
        <f>INDEX(Data!$AAL$2:$AAM$15,BJ27,BK27)</f>
        <v>#N/A</v>
      </c>
    </row>
    <row r="28" spans="1:64" ht="30" customHeight="1" thickTop="1" thickBot="1">
      <c r="A28" s="52">
        <v>21</v>
      </c>
      <c r="B28" s="13"/>
      <c r="C28" s="13"/>
      <c r="D28" s="19"/>
      <c r="E28" s="15"/>
      <c r="F28" s="10"/>
      <c r="G28" s="10"/>
      <c r="H28" s="14"/>
      <c r="I28" s="14"/>
      <c r="J28" s="525"/>
      <c r="K28" s="526"/>
      <c r="L28" s="15"/>
      <c r="M28" s="15"/>
      <c r="N28" s="15"/>
      <c r="O28" s="577"/>
      <c r="P28" s="578"/>
      <c r="Q28" s="13"/>
      <c r="R28" s="13"/>
      <c r="S28" s="13"/>
      <c r="T28" s="13"/>
      <c r="U28" s="13"/>
      <c r="V28" s="13"/>
      <c r="W28" s="13"/>
      <c r="X28" s="15"/>
      <c r="Y28" s="16"/>
      <c r="Z28" s="175"/>
      <c r="AA28" s="229"/>
      <c r="AB28" s="230"/>
      <c r="AC28" s="33" t="e">
        <f t="shared" si="0"/>
        <v>#N/A</v>
      </c>
      <c r="AD28" s="33" t="e">
        <f>VLOOKUP(S28,Data!$QH$2:$QI$4,2,FALSE)</f>
        <v>#N/A</v>
      </c>
      <c r="AF28" s="172" t="e">
        <f t="shared" si="1"/>
        <v>#N/A</v>
      </c>
      <c r="AI28" s="172" t="b">
        <f>IF(W28=Data!$KK$2,Data!$KM$1,IF(W28=Data!$KK$3,Data!$KN$1,IF(W28=Data!$KK$4,Data!$KP$1,IF(W28=Data!$KK$5,Data!$KQ$1))))</f>
        <v>0</v>
      </c>
      <c r="AJ28" s="33" t="str">
        <f>IF(D28=Data!$W$10,Data!$QJ$1,Data!$QK$1)</f>
        <v>RollerControl</v>
      </c>
      <c r="AM28" s="33" t="b">
        <f>IF(S28=Data!$PX$2,Data!$PZ$1,IF(S28=Data!$PX$3,Data!$PY$1,IF(S28=Data!$PX$4,Data!$QA$1)))</f>
        <v>0</v>
      </c>
      <c r="AO28" s="33" t="b">
        <f>IF(S28=Data!$PX$3,Data!$QB$1,IF(S28=Data!$PX$2,Data!$QC$1,IF(S28=Data!$PX$4,Data!$QD$1)))</f>
        <v>0</v>
      </c>
      <c r="AQ28" s="33" t="str">
        <f>IF(D28=Data!$W$3,Data!$QF$1,IF(D28=Data!$W$4,Data!$QF$1,IF(D28=Data!$W$5,Data!$QF$1,IF(D28=Data!$W$6,Data!$QF$1,IF(D28=Data!$W$7,Data!$QF$1,IF(D28=Data!$W$8,Data!$QF$1,IF(D28=Data!$W$9,Data!$QF$1,IF(D28=Data!$W$10,Data!$QE$1,IF(D28=Data!$W$11,Data!$QF$1,IF(D28=Data!$W$12,Data!$QF$1,IF(D28=Data!$W$13,Data!$QF$1,IF(D28=Data!$W$14,Data!$QF$1,IF(D28=Data!$W$15,Data!$QF$1,IF(D28=Data!$W$16,Data!$QF$1))))))))))))))</f>
        <v>RollerBracketType2</v>
      </c>
      <c r="BA28" s="40" t="str">
        <f>IF(AND(F28&lt;2130, OR(G28&lt;2100)),Data!$KS$1,Data!$KT$1)</f>
        <v>Small_Tube</v>
      </c>
      <c r="BB28" s="172" t="e">
        <f>MATCH(W28,Data!$LA$1:$LD$1,0)</f>
        <v>#N/A</v>
      </c>
      <c r="BC28" s="172">
        <f>MATCH('Roller Blinds'!BA28,Data!$KZ$2:$KZ$3,0)</f>
        <v>1</v>
      </c>
      <c r="BD28" s="172" t="e">
        <f>INDEX(Data!$LA$2:$LD$3,'Roller Blinds'!BC28,'Roller Blinds'!BB28)</f>
        <v>#N/A</v>
      </c>
      <c r="BG28" s="172" t="b">
        <f>IF(O28=Data!$QK$2,Data!$QL$1,IF(O28=Data!$QK$3,Data!$QM$1,IF(O28=Data!$QK$4,Data!$QN$1,IF(O28=Data!$QK$5,Data!$QO$1,IF(O28=Data!$QK$6,Data!$QP$1,IF(O28=Data!$QK$7,Data!$QQ$1,IF(O28=Data!$QK$8,Data!$QR$1,IF(O28=Data!$QK$9,Data!$QS$1, IF(O28=Data!$QK$10,Data!$QV$1, IF(O28=Data!$QK$11,Data!$QW$1))))))))))</f>
        <v>0</v>
      </c>
      <c r="BH28" s="33" t="b">
        <f>IF(O28=Data!$QK$2,Data!$QL$17,IF(O28=Data!$QK$3,Data!$QM$17,IF(O28=Data!$QK$4,Data!$QN$17,IF(O28=Data!$QK$5,Data!$QO$17,IF(O28=Data!$QK$6,Data!$QP$17,IF(O28=Data!$QK$7,Data!$QQ$17,IF(O28=Data!$QK$8,Data!$QR$17,IF(O28=Data!$QK$9,Data!$QS$17,IF(O28=Data!$QK$10,Data!$QV$17,IF(O28=Data!$QK$11,Data!$QW$17))))))))))</f>
        <v>0</v>
      </c>
      <c r="BI28" s="33" t="e">
        <f>VLOOKUP(O28,Data!$PU$13:$PV$22,2,FALSE)</f>
        <v>#N/A</v>
      </c>
      <c r="BJ28" s="33" t="e">
        <f>MATCH('Roller Blinds'!D28,Data!$AAK$2:$AAK$15)</f>
        <v>#N/A</v>
      </c>
      <c r="BK28" s="33" t="e">
        <f>MATCH(L28,Data!$AAL$1:$AAM$1)</f>
        <v>#N/A</v>
      </c>
      <c r="BL28" s="33" t="e">
        <f>INDEX(Data!$AAL$2:$AAM$15,BJ28,BK28)</f>
        <v>#N/A</v>
      </c>
    </row>
    <row r="29" spans="1:64" ht="30" customHeight="1" thickTop="1" thickBot="1">
      <c r="A29" s="52">
        <v>22</v>
      </c>
      <c r="B29" s="13"/>
      <c r="C29" s="13"/>
      <c r="D29" s="19"/>
      <c r="E29" s="15"/>
      <c r="F29" s="10"/>
      <c r="G29" s="10"/>
      <c r="H29" s="14"/>
      <c r="I29" s="14"/>
      <c r="J29" s="525"/>
      <c r="K29" s="526"/>
      <c r="L29" s="15"/>
      <c r="M29" s="15"/>
      <c r="N29" s="15"/>
      <c r="O29" s="577"/>
      <c r="P29" s="578"/>
      <c r="Q29" s="13"/>
      <c r="R29" s="13"/>
      <c r="S29" s="13"/>
      <c r="T29" s="13"/>
      <c r="U29" s="13"/>
      <c r="V29" s="13"/>
      <c r="W29" s="13"/>
      <c r="X29" s="15"/>
      <c r="Y29" s="16"/>
      <c r="Z29" s="175"/>
      <c r="AA29" s="229"/>
      <c r="AB29" s="230"/>
      <c r="AC29" s="33" t="e">
        <f t="shared" si="0"/>
        <v>#N/A</v>
      </c>
      <c r="AD29" s="33" t="e">
        <f>VLOOKUP(S29,Data!$QH$2:$QI$4,2,FALSE)</f>
        <v>#N/A</v>
      </c>
      <c r="AF29" s="172" t="e">
        <f t="shared" si="1"/>
        <v>#N/A</v>
      </c>
      <c r="AI29" s="172" t="b">
        <f>IF(W29=Data!$KK$2,Data!$KM$1,IF(W29=Data!$KK$3,Data!$KN$1,IF(W29=Data!$KK$4,Data!$KP$1,IF(W29=Data!$KK$5,Data!$KQ$1))))</f>
        <v>0</v>
      </c>
      <c r="AJ29" s="33" t="str">
        <f>IF(D29=Data!$W$10,Data!$QJ$1,Data!$QK$1)</f>
        <v>RollerControl</v>
      </c>
      <c r="AM29" s="33" t="b">
        <f>IF(S29=Data!$PX$2,Data!$PZ$1,IF(S29=Data!$PX$3,Data!$PY$1,IF(S29=Data!$PX$4,Data!$QA$1)))</f>
        <v>0</v>
      </c>
      <c r="AO29" s="33" t="b">
        <f>IF(S29=Data!$PX$3,Data!$QB$1,IF(S29=Data!$PX$2,Data!$QC$1,IF(S29=Data!$PX$4,Data!$QD$1)))</f>
        <v>0</v>
      </c>
      <c r="AQ29" s="33" t="str">
        <f>IF(D29=Data!$W$3,Data!$QF$1,IF(D29=Data!$W$4,Data!$QF$1,IF(D29=Data!$W$5,Data!$QF$1,IF(D29=Data!$W$6,Data!$QF$1,IF(D29=Data!$W$7,Data!$QF$1,IF(D29=Data!$W$8,Data!$QF$1,IF(D29=Data!$W$9,Data!$QF$1,IF(D29=Data!$W$10,Data!$QE$1,IF(D29=Data!$W$11,Data!$QF$1,IF(D29=Data!$W$12,Data!$QF$1,IF(D29=Data!$W$13,Data!$QF$1,IF(D29=Data!$W$14,Data!$QF$1,IF(D29=Data!$W$15,Data!$QF$1,IF(D29=Data!$W$16,Data!$QF$1))))))))))))))</f>
        <v>RollerBracketType2</v>
      </c>
      <c r="BA29" s="40" t="str">
        <f>IF(AND(F29&lt;2130, OR(G29&lt;2100)),Data!$KS$1,Data!$KT$1)</f>
        <v>Small_Tube</v>
      </c>
      <c r="BB29" s="172" t="e">
        <f>MATCH(W29,Data!$LA$1:$LD$1,0)</f>
        <v>#N/A</v>
      </c>
      <c r="BC29" s="172">
        <f>MATCH('Roller Blinds'!BA29,Data!$KZ$2:$KZ$3,0)</f>
        <v>1</v>
      </c>
      <c r="BD29" s="172" t="e">
        <f>INDEX(Data!$LA$2:$LD$3,'Roller Blinds'!BC29,'Roller Blinds'!BB29)</f>
        <v>#N/A</v>
      </c>
      <c r="BG29" s="172" t="b">
        <f>IF(O29=Data!$QK$2,Data!$QL$1,IF(O29=Data!$QK$3,Data!$QM$1,IF(O29=Data!$QK$4,Data!$QN$1,IF(O29=Data!$QK$5,Data!$QO$1,IF(O29=Data!$QK$6,Data!$QP$1,IF(O29=Data!$QK$7,Data!$QQ$1,IF(O29=Data!$QK$8,Data!$QR$1,IF(O29=Data!$QK$9,Data!$QS$1, IF(O29=Data!$QK$10,Data!$QV$1, IF(O29=Data!$QK$11,Data!$QW$1))))))))))</f>
        <v>0</v>
      </c>
      <c r="BH29" s="33" t="b">
        <f>IF(O29=Data!$QK$2,Data!$QL$17,IF(O29=Data!$QK$3,Data!$QM$17,IF(O29=Data!$QK$4,Data!$QN$17,IF(O29=Data!$QK$5,Data!$QO$17,IF(O29=Data!$QK$6,Data!$QP$17,IF(O29=Data!$QK$7,Data!$QQ$17,IF(O29=Data!$QK$8,Data!$QR$17,IF(O29=Data!$QK$9,Data!$QS$17,IF(O29=Data!$QK$10,Data!$QV$17,IF(O29=Data!$QK$11,Data!$QW$17))))))))))</f>
        <v>0</v>
      </c>
      <c r="BI29" s="33" t="e">
        <f>VLOOKUP(O29,Data!$PU$13:$PV$22,2,FALSE)</f>
        <v>#N/A</v>
      </c>
      <c r="BJ29" s="33" t="e">
        <f>MATCH('Roller Blinds'!D29,Data!$AAK$2:$AAK$15)</f>
        <v>#N/A</v>
      </c>
      <c r="BK29" s="33" t="e">
        <f>MATCH(L29,Data!$AAL$1:$AAM$1)</f>
        <v>#N/A</v>
      </c>
      <c r="BL29" s="33" t="e">
        <f>INDEX(Data!$AAL$2:$AAM$15,BJ29,BK29)</f>
        <v>#N/A</v>
      </c>
    </row>
    <row r="30" spans="1:64" ht="30" customHeight="1" thickTop="1" thickBot="1">
      <c r="A30" s="52">
        <v>23</v>
      </c>
      <c r="B30" s="13"/>
      <c r="C30" s="13"/>
      <c r="D30" s="13"/>
      <c r="E30" s="15"/>
      <c r="F30" s="10"/>
      <c r="G30" s="10"/>
      <c r="H30" s="14"/>
      <c r="I30" s="14"/>
      <c r="J30" s="525"/>
      <c r="K30" s="526"/>
      <c r="L30" s="15"/>
      <c r="M30" s="15"/>
      <c r="N30" s="15"/>
      <c r="O30" s="577"/>
      <c r="P30" s="578"/>
      <c r="Q30" s="13"/>
      <c r="R30" s="13"/>
      <c r="S30" s="13"/>
      <c r="T30" s="13"/>
      <c r="U30" s="13"/>
      <c r="V30" s="13"/>
      <c r="W30" s="13"/>
      <c r="X30" s="15"/>
      <c r="Y30" s="16"/>
      <c r="Z30" s="175"/>
      <c r="AA30" s="229"/>
      <c r="AB30" s="230"/>
      <c r="AC30" s="33" t="e">
        <f t="shared" si="0"/>
        <v>#N/A</v>
      </c>
      <c r="AD30" s="33" t="e">
        <f>VLOOKUP(S30,Data!$QH$2:$QI$4,2,FALSE)</f>
        <v>#N/A</v>
      </c>
      <c r="AF30" s="172" t="e">
        <f t="shared" si="1"/>
        <v>#N/A</v>
      </c>
      <c r="AI30" s="172" t="b">
        <f>IF(W30=Data!$KK$2,Data!$KM$1,IF(W30=Data!$KK$3,Data!$KN$1,IF(W30=Data!$KK$4,Data!$KP$1,IF(W30=Data!$KK$5,Data!$KQ$1))))</f>
        <v>0</v>
      </c>
      <c r="AJ30" s="33" t="str">
        <f>IF(D30=Data!$W$10,Data!$QJ$1,Data!$QK$1)</f>
        <v>RollerControl</v>
      </c>
      <c r="AM30" s="33" t="b">
        <f>IF(S30=Data!$PX$2,Data!$PZ$1,IF(S30=Data!$PX$3,Data!$PY$1,IF(S30=Data!$PX$4,Data!$QA$1)))</f>
        <v>0</v>
      </c>
      <c r="AO30" s="33" t="b">
        <f>IF(S30=Data!$PX$3,Data!$QB$1,IF(S30=Data!$PX$2,Data!$QC$1,IF(S30=Data!$PX$4,Data!$QD$1)))</f>
        <v>0</v>
      </c>
      <c r="AQ30" s="33" t="str">
        <f>IF(D30=Data!$W$3,Data!$QF$1,IF(D30=Data!$W$4,Data!$QF$1,IF(D30=Data!$W$5,Data!$QF$1,IF(D30=Data!$W$6,Data!$QF$1,IF(D30=Data!$W$7,Data!$QF$1,IF(D30=Data!$W$8,Data!$QF$1,IF(D30=Data!$W$9,Data!$QF$1,IF(D30=Data!$W$10,Data!$QE$1,IF(D30=Data!$W$11,Data!$QF$1,IF(D30=Data!$W$12,Data!$QF$1,IF(D30=Data!$W$13,Data!$QF$1,IF(D30=Data!$W$14,Data!$QF$1,IF(D30=Data!$W$15,Data!$QF$1,IF(D30=Data!$W$16,Data!$QF$1))))))))))))))</f>
        <v>RollerBracketType2</v>
      </c>
      <c r="BA30" s="40" t="str">
        <f>IF(AND(F30&lt;2130, OR(G30&lt;2100)),Data!$KS$1,Data!$KT$1)</f>
        <v>Small_Tube</v>
      </c>
      <c r="BB30" s="172" t="e">
        <f>MATCH(W30,Data!$LA$1:$LD$1,0)</f>
        <v>#N/A</v>
      </c>
      <c r="BC30" s="172">
        <f>MATCH('Roller Blinds'!BA30,Data!$KZ$2:$KZ$3,0)</f>
        <v>1</v>
      </c>
      <c r="BD30" s="172" t="e">
        <f>INDEX(Data!$LA$2:$LD$3,'Roller Blinds'!BC30,'Roller Blinds'!BB30)</f>
        <v>#N/A</v>
      </c>
      <c r="BG30" s="172" t="b">
        <f>IF(O30=Data!$QK$2,Data!$QL$1,IF(O30=Data!$QK$3,Data!$QM$1,IF(O30=Data!$QK$4,Data!$QN$1,IF(O30=Data!$QK$5,Data!$QO$1,IF(O30=Data!$QK$6,Data!$QP$1,IF(O30=Data!$QK$7,Data!$QQ$1,IF(O30=Data!$QK$8,Data!$QR$1,IF(O30=Data!$QK$9,Data!$QS$1, IF(O30=Data!$QK$10,Data!$QV$1, IF(O30=Data!$QK$11,Data!$QW$1))))))))))</f>
        <v>0</v>
      </c>
      <c r="BH30" s="33" t="b">
        <f>IF(O30=Data!$QK$2,Data!$QL$17,IF(O30=Data!$QK$3,Data!$QM$17,IF(O30=Data!$QK$4,Data!$QN$17,IF(O30=Data!$QK$5,Data!$QO$17,IF(O30=Data!$QK$6,Data!$QP$17,IF(O30=Data!$QK$7,Data!$QQ$17,IF(O30=Data!$QK$8,Data!$QR$17,IF(O30=Data!$QK$9,Data!$QS$17,IF(O30=Data!$QK$10,Data!$QV$17,IF(O30=Data!$QK$11,Data!$QW$17))))))))))</f>
        <v>0</v>
      </c>
      <c r="BI30" s="33" t="e">
        <f>VLOOKUP(O30,Data!$PU$13:$PV$22,2,FALSE)</f>
        <v>#N/A</v>
      </c>
      <c r="BJ30" s="33" t="e">
        <f>MATCH('Roller Blinds'!D30,Data!$AAK$2:$AAK$15)</f>
        <v>#N/A</v>
      </c>
      <c r="BK30" s="33" t="e">
        <f>MATCH(L30,Data!$AAL$1:$AAM$1)</f>
        <v>#N/A</v>
      </c>
      <c r="BL30" s="33" t="e">
        <f>INDEX(Data!$AAL$2:$AAM$15,BJ30,BK30)</f>
        <v>#N/A</v>
      </c>
    </row>
    <row r="31" spans="1:64" ht="30" customHeight="1" thickTop="1" thickBot="1">
      <c r="A31" s="52">
        <v>24</v>
      </c>
      <c r="B31" s="13"/>
      <c r="C31" s="13"/>
      <c r="D31" s="19"/>
      <c r="E31" s="15"/>
      <c r="F31" s="10"/>
      <c r="G31" s="10"/>
      <c r="H31" s="14"/>
      <c r="I31" s="10"/>
      <c r="J31" s="587"/>
      <c r="K31" s="588"/>
      <c r="L31" s="18"/>
      <c r="M31" s="15"/>
      <c r="N31" s="18"/>
      <c r="O31" s="577"/>
      <c r="P31" s="578"/>
      <c r="Q31" s="13"/>
      <c r="R31" s="13"/>
      <c r="S31" s="13"/>
      <c r="T31" s="13"/>
      <c r="U31" s="13"/>
      <c r="V31" s="13"/>
      <c r="W31" s="13"/>
      <c r="X31" s="15"/>
      <c r="Y31" s="16"/>
      <c r="Z31" s="175"/>
      <c r="AA31" s="229"/>
      <c r="AB31" s="230"/>
      <c r="AC31" s="33" t="e">
        <f t="shared" si="0"/>
        <v>#N/A</v>
      </c>
      <c r="AD31" s="33" t="e">
        <f>VLOOKUP(S31,Data!$QH$2:$QI$4,2,FALSE)</f>
        <v>#N/A</v>
      </c>
      <c r="AF31" s="172" t="e">
        <f t="shared" si="1"/>
        <v>#N/A</v>
      </c>
      <c r="AI31" s="172" t="b">
        <f>IF(W31=Data!$KK$2,Data!$KM$1,IF(W31=Data!$KK$3,Data!$KN$1,IF(W31=Data!$KK$4,Data!$KP$1,IF(W31=Data!$KK$5,Data!$KQ$1))))</f>
        <v>0</v>
      </c>
      <c r="AJ31" s="33" t="str">
        <f>IF(D31=Data!$W$10,Data!$QJ$1,Data!$QK$1)</f>
        <v>RollerControl</v>
      </c>
      <c r="AM31" s="33" t="b">
        <f>IF(S31=Data!$PX$2,Data!$PZ$1,IF(S31=Data!$PX$3,Data!$PY$1,IF(S31=Data!$PX$4,Data!$QA$1)))</f>
        <v>0</v>
      </c>
      <c r="AO31" s="33" t="b">
        <f>IF(S31=Data!$PX$3,Data!$QB$1,IF(S31=Data!$PX$2,Data!$QC$1,IF(S31=Data!$PX$4,Data!$QD$1)))</f>
        <v>0</v>
      </c>
      <c r="AQ31" s="33" t="str">
        <f>IF(D31=Data!$W$3,Data!$QF$1,IF(D31=Data!$W$4,Data!$QF$1,IF(D31=Data!$W$5,Data!$QF$1,IF(D31=Data!$W$6,Data!$QF$1,IF(D31=Data!$W$7,Data!$QF$1,IF(D31=Data!$W$8,Data!$QF$1,IF(D31=Data!$W$9,Data!$QF$1,IF(D31=Data!$W$10,Data!$QE$1,IF(D31=Data!$W$11,Data!$QF$1,IF(D31=Data!$W$12,Data!$QF$1,IF(D31=Data!$W$13,Data!$QF$1,IF(D31=Data!$W$14,Data!$QF$1,IF(D31=Data!$W$15,Data!$QF$1,IF(D31=Data!$W$16,Data!$QF$1))))))))))))))</f>
        <v>RollerBracketType2</v>
      </c>
      <c r="BA31" s="40" t="str">
        <f>IF(AND(F31&lt;2130, OR(G31&lt;2100)),Data!$KS$1,Data!$KT$1)</f>
        <v>Small_Tube</v>
      </c>
      <c r="BB31" s="172" t="e">
        <f>MATCH(W31,Data!$LA$1:$LD$1,0)</f>
        <v>#N/A</v>
      </c>
      <c r="BC31" s="172">
        <f>MATCH('Roller Blinds'!BA31,Data!$KZ$2:$KZ$3,0)</f>
        <v>1</v>
      </c>
      <c r="BD31" s="172" t="e">
        <f>INDEX(Data!$LA$2:$LD$3,'Roller Blinds'!BC31,'Roller Blinds'!BB31)</f>
        <v>#N/A</v>
      </c>
      <c r="BG31" s="172" t="b">
        <f>IF(O31=Data!$QK$2,Data!$QL$1,IF(O31=Data!$QK$3,Data!$QM$1,IF(O31=Data!$QK$4,Data!$QN$1,IF(O31=Data!$QK$5,Data!$QO$1,IF(O31=Data!$QK$6,Data!$QP$1,IF(O31=Data!$QK$7,Data!$QQ$1,IF(O31=Data!$QK$8,Data!$QR$1,IF(O31=Data!$QK$9,Data!$QS$1, IF(O31=Data!$QK$10,Data!$QV$1, IF(O31=Data!$QK$11,Data!$QW$1))))))))))</f>
        <v>0</v>
      </c>
      <c r="BH31" s="33" t="b">
        <f>IF(O31=Data!$QK$2,Data!$QL$17,IF(O31=Data!$QK$3,Data!$QM$17,IF(O31=Data!$QK$4,Data!$QN$17,IF(O31=Data!$QK$5,Data!$QO$17,IF(O31=Data!$QK$6,Data!$QP$17,IF(O31=Data!$QK$7,Data!$QQ$17,IF(O31=Data!$QK$8,Data!$QR$17,IF(O31=Data!$QK$9,Data!$QS$17,IF(O31=Data!$QK$10,Data!$QV$17,IF(O31=Data!$QK$11,Data!$QW$17))))))))))</f>
        <v>0</v>
      </c>
      <c r="BI31" s="33" t="e">
        <f>VLOOKUP(O31,Data!$PU$13:$PV$22,2,FALSE)</f>
        <v>#N/A</v>
      </c>
      <c r="BJ31" s="33" t="e">
        <f>MATCH('Roller Blinds'!D31,Data!$AAK$2:$AAK$15)</f>
        <v>#N/A</v>
      </c>
      <c r="BK31" s="33" t="e">
        <f>MATCH(L31,Data!$AAL$1:$AAM$1)</f>
        <v>#N/A</v>
      </c>
      <c r="BL31" s="33" t="e">
        <f>INDEX(Data!$AAL$2:$AAM$15,BJ31,BK31)</f>
        <v>#N/A</v>
      </c>
    </row>
    <row r="32" spans="1:64" ht="30" customHeight="1" thickTop="1" thickBot="1">
      <c r="A32" s="52">
        <v>25</v>
      </c>
      <c r="B32" s="13"/>
      <c r="C32" s="13"/>
      <c r="D32" s="19"/>
      <c r="E32" s="15"/>
      <c r="F32" s="10"/>
      <c r="G32" s="10"/>
      <c r="H32" s="14"/>
      <c r="I32" s="14"/>
      <c r="J32" s="525"/>
      <c r="K32" s="526"/>
      <c r="L32" s="15"/>
      <c r="M32" s="15"/>
      <c r="N32" s="15"/>
      <c r="O32" s="577"/>
      <c r="P32" s="578"/>
      <c r="Q32" s="13"/>
      <c r="R32" s="13"/>
      <c r="S32" s="13"/>
      <c r="T32" s="13"/>
      <c r="U32" s="13"/>
      <c r="V32" s="13"/>
      <c r="W32" s="13"/>
      <c r="X32" s="15"/>
      <c r="Y32" s="16"/>
      <c r="Z32" s="175"/>
      <c r="AA32" s="229"/>
      <c r="AB32" s="230"/>
      <c r="AC32" s="33" t="e">
        <f t="shared" si="0"/>
        <v>#N/A</v>
      </c>
      <c r="AD32" s="33" t="e">
        <f>VLOOKUP(S32,Data!$QH$2:$QI$4,2,FALSE)</f>
        <v>#N/A</v>
      </c>
      <c r="AF32" s="172" t="e">
        <f t="shared" si="1"/>
        <v>#N/A</v>
      </c>
      <c r="AI32" s="172" t="b">
        <f>IF(W32=Data!$KK$2,Data!$KM$1,IF(W32=Data!$KK$3,Data!$KN$1,IF(W32=Data!$KK$4,Data!$KP$1,IF(W32=Data!$KK$5,Data!$KQ$1))))</f>
        <v>0</v>
      </c>
      <c r="AJ32" s="33" t="str">
        <f>IF(D32=Data!$W$10,Data!$QJ$1,Data!$QK$1)</f>
        <v>RollerControl</v>
      </c>
      <c r="AM32" s="33" t="b">
        <f>IF(S32=Data!$PX$2,Data!$PZ$1,IF(S32=Data!$PX$3,Data!$PY$1,IF(S32=Data!$PX$4,Data!$QA$1)))</f>
        <v>0</v>
      </c>
      <c r="AO32" s="33" t="b">
        <f>IF(S32=Data!$PX$3,Data!$QB$1,IF(S32=Data!$PX$2,Data!$QC$1,IF(S32=Data!$PX$4,Data!$QD$1)))</f>
        <v>0</v>
      </c>
      <c r="AQ32" s="33" t="str">
        <f>IF(D32=Data!$W$3,Data!$QF$1,IF(D32=Data!$W$4,Data!$QF$1,IF(D32=Data!$W$5,Data!$QF$1,IF(D32=Data!$W$6,Data!$QF$1,IF(D32=Data!$W$7,Data!$QF$1,IF(D32=Data!$W$8,Data!$QF$1,IF(D32=Data!$W$9,Data!$QF$1,IF(D32=Data!$W$10,Data!$QE$1,IF(D32=Data!$W$11,Data!$QF$1,IF(D32=Data!$W$12,Data!$QF$1,IF(D32=Data!$W$13,Data!$QF$1,IF(D32=Data!$W$14,Data!$QF$1,IF(D32=Data!$W$15,Data!$QF$1,IF(D32=Data!$W$16,Data!$QF$1))))))))))))))</f>
        <v>RollerBracketType2</v>
      </c>
      <c r="BA32" s="40" t="str">
        <f>IF(AND(F32&lt;2130, OR(G32&lt;2100)),Data!$KS$1,Data!$KT$1)</f>
        <v>Small_Tube</v>
      </c>
      <c r="BB32" s="172" t="e">
        <f>MATCH(W32,Data!$LA$1:$LD$1,0)</f>
        <v>#N/A</v>
      </c>
      <c r="BC32" s="172">
        <f>MATCH('Roller Blinds'!BA32,Data!$KZ$2:$KZ$3,0)</f>
        <v>1</v>
      </c>
      <c r="BD32" s="172" t="e">
        <f>INDEX(Data!$LA$2:$LD$3,'Roller Blinds'!BC32,'Roller Blinds'!BB32)</f>
        <v>#N/A</v>
      </c>
      <c r="BG32" s="172" t="b">
        <f>IF(O32=Data!$QK$2,Data!$QL$1,IF(O32=Data!$QK$3,Data!$QM$1,IF(O32=Data!$QK$4,Data!$QN$1,IF(O32=Data!$QK$5,Data!$QO$1,IF(O32=Data!$QK$6,Data!$QP$1,IF(O32=Data!$QK$7,Data!$QQ$1,IF(O32=Data!$QK$8,Data!$QR$1,IF(O32=Data!$QK$9,Data!$QS$1, IF(O32=Data!$QK$10,Data!$QV$1, IF(O32=Data!$QK$11,Data!$QW$1))))))))))</f>
        <v>0</v>
      </c>
      <c r="BH32" s="33" t="b">
        <f>IF(O32=Data!$QK$2,Data!$QL$17,IF(O32=Data!$QK$3,Data!$QM$17,IF(O32=Data!$QK$4,Data!$QN$17,IF(O32=Data!$QK$5,Data!$QO$17,IF(O32=Data!$QK$6,Data!$QP$17,IF(O32=Data!$QK$7,Data!$QQ$17,IF(O32=Data!$QK$8,Data!$QR$17,IF(O32=Data!$QK$9,Data!$QS$17,IF(O32=Data!$QK$10,Data!$QV$17,IF(O32=Data!$QK$11,Data!$QW$17))))))))))</f>
        <v>0</v>
      </c>
      <c r="BI32" s="33" t="e">
        <f>VLOOKUP(O32,Data!$PU$13:$PV$22,2,FALSE)</f>
        <v>#N/A</v>
      </c>
      <c r="BJ32" s="33" t="e">
        <f>MATCH('Roller Blinds'!D32,Data!$AAK$2:$AAK$15)</f>
        <v>#N/A</v>
      </c>
      <c r="BK32" s="33" t="e">
        <f>MATCH(L32,Data!$AAL$1:$AAM$1)</f>
        <v>#N/A</v>
      </c>
      <c r="BL32" s="33" t="e">
        <f>INDEX(Data!$AAL$2:$AAM$15,BJ32,BK32)</f>
        <v>#N/A</v>
      </c>
    </row>
    <row r="33" spans="1:64" ht="30" customHeight="1" thickTop="1" thickBot="1">
      <c r="A33" s="52">
        <v>26</v>
      </c>
      <c r="B33" s="13"/>
      <c r="C33" s="13"/>
      <c r="D33" s="19"/>
      <c r="E33" s="15"/>
      <c r="F33" s="10"/>
      <c r="G33" s="10"/>
      <c r="H33" s="14"/>
      <c r="I33" s="14"/>
      <c r="J33" s="525"/>
      <c r="K33" s="526"/>
      <c r="L33" s="15"/>
      <c r="M33" s="15"/>
      <c r="N33" s="15"/>
      <c r="O33" s="577"/>
      <c r="P33" s="578"/>
      <c r="Q33" s="13"/>
      <c r="R33" s="13"/>
      <c r="S33" s="13"/>
      <c r="T33" s="13"/>
      <c r="U33" s="13"/>
      <c r="V33" s="13"/>
      <c r="W33" s="13"/>
      <c r="X33" s="15"/>
      <c r="Y33" s="16"/>
      <c r="Z33" s="175"/>
      <c r="AA33" s="229"/>
      <c r="AB33" s="230"/>
      <c r="AC33" s="33" t="e">
        <f t="shared" si="0"/>
        <v>#N/A</v>
      </c>
      <c r="AD33" s="33" t="e">
        <f>VLOOKUP(S33,Data!$QH$2:$QI$4,2,FALSE)</f>
        <v>#N/A</v>
      </c>
      <c r="AF33" s="172" t="e">
        <f t="shared" si="1"/>
        <v>#N/A</v>
      </c>
      <c r="AI33" s="172" t="b">
        <f>IF(W33=Data!$KK$2,Data!$KM$1,IF(W33=Data!$KK$3,Data!$KN$1,IF(W33=Data!$KK$4,Data!$KP$1,IF(W33=Data!$KK$5,Data!$KQ$1))))</f>
        <v>0</v>
      </c>
      <c r="AJ33" s="33" t="str">
        <f>IF(D33=Data!$W$10,Data!$QJ$1,Data!$QK$1)</f>
        <v>RollerControl</v>
      </c>
      <c r="AM33" s="33" t="b">
        <f>IF(S33=Data!$PX$2,Data!$PZ$1,IF(S33=Data!$PX$3,Data!$PY$1,IF(S33=Data!$PX$4,Data!$QA$1)))</f>
        <v>0</v>
      </c>
      <c r="AO33" s="33" t="b">
        <f>IF(S33=Data!$PX$3,Data!$QB$1,IF(S33=Data!$PX$2,Data!$QC$1,IF(S33=Data!$PX$4,Data!$QD$1)))</f>
        <v>0</v>
      </c>
      <c r="AQ33" s="33" t="str">
        <f>IF(D33=Data!$W$3,Data!$QF$1,IF(D33=Data!$W$4,Data!$QF$1,IF(D33=Data!$W$5,Data!$QF$1,IF(D33=Data!$W$6,Data!$QF$1,IF(D33=Data!$W$7,Data!$QF$1,IF(D33=Data!$W$8,Data!$QF$1,IF(D33=Data!$W$9,Data!$QF$1,IF(D33=Data!$W$10,Data!$QE$1,IF(D33=Data!$W$11,Data!$QF$1,IF(D33=Data!$W$12,Data!$QF$1,IF(D33=Data!$W$13,Data!$QF$1,IF(D33=Data!$W$14,Data!$QF$1,IF(D33=Data!$W$15,Data!$QF$1,IF(D33=Data!$W$16,Data!$QF$1))))))))))))))</f>
        <v>RollerBracketType2</v>
      </c>
      <c r="BA33" s="40" t="str">
        <f>IF(AND(F33&lt;2130, OR(G33&lt;2100)),Data!$KS$1,Data!$KT$1)</f>
        <v>Small_Tube</v>
      </c>
      <c r="BB33" s="172" t="e">
        <f>MATCH(W33,Data!$LA$1:$LD$1,0)</f>
        <v>#N/A</v>
      </c>
      <c r="BC33" s="172">
        <f>MATCH('Roller Blinds'!BA33,Data!$KZ$2:$KZ$3,0)</f>
        <v>1</v>
      </c>
      <c r="BD33" s="172" t="e">
        <f>INDEX(Data!$LA$2:$LD$3,'Roller Blinds'!BC33,'Roller Blinds'!BB33)</f>
        <v>#N/A</v>
      </c>
      <c r="BG33" s="172" t="b">
        <f>IF(O33=Data!$QK$2,Data!$QL$1,IF(O33=Data!$QK$3,Data!$QM$1,IF(O33=Data!$QK$4,Data!$QN$1,IF(O33=Data!$QK$5,Data!$QO$1,IF(O33=Data!$QK$6,Data!$QP$1,IF(O33=Data!$QK$7,Data!$QQ$1,IF(O33=Data!$QK$8,Data!$QR$1,IF(O33=Data!$QK$9,Data!$QS$1, IF(O33=Data!$QK$10,Data!$QV$1, IF(O33=Data!$QK$11,Data!$QW$1))))))))))</f>
        <v>0</v>
      </c>
      <c r="BH33" s="33" t="b">
        <f>IF(O33=Data!$QK$2,Data!$QL$17,IF(O33=Data!$QK$3,Data!$QM$17,IF(O33=Data!$QK$4,Data!$QN$17,IF(O33=Data!$QK$5,Data!$QO$17,IF(O33=Data!$QK$6,Data!$QP$17,IF(O33=Data!$QK$7,Data!$QQ$17,IF(O33=Data!$QK$8,Data!$QR$17,IF(O33=Data!$QK$9,Data!$QS$17,IF(O33=Data!$QK$10,Data!$QV$17,IF(O33=Data!$QK$11,Data!$QW$17))))))))))</f>
        <v>0</v>
      </c>
      <c r="BI33" s="33" t="e">
        <f>VLOOKUP(O33,Data!$PU$13:$PV$22,2,FALSE)</f>
        <v>#N/A</v>
      </c>
      <c r="BJ33" s="33" t="e">
        <f>MATCH('Roller Blinds'!D33,Data!$AAK$2:$AAK$15)</f>
        <v>#N/A</v>
      </c>
      <c r="BK33" s="33" t="e">
        <f>MATCH(L33,Data!$AAL$1:$AAM$1)</f>
        <v>#N/A</v>
      </c>
      <c r="BL33" s="33" t="e">
        <f>INDEX(Data!$AAL$2:$AAM$15,BJ33,BK33)</f>
        <v>#N/A</v>
      </c>
    </row>
    <row r="34" spans="1:64" ht="30" customHeight="1" thickTop="1" thickBot="1">
      <c r="A34" s="52">
        <v>27</v>
      </c>
      <c r="B34" s="13"/>
      <c r="C34" s="13"/>
      <c r="D34" s="19"/>
      <c r="E34" s="15"/>
      <c r="F34" s="10"/>
      <c r="G34" s="10"/>
      <c r="H34" s="14"/>
      <c r="I34" s="14"/>
      <c r="J34" s="525"/>
      <c r="K34" s="526"/>
      <c r="L34" s="15"/>
      <c r="M34" s="15"/>
      <c r="N34" s="15"/>
      <c r="O34" s="577"/>
      <c r="P34" s="578"/>
      <c r="Q34" s="13"/>
      <c r="R34" s="13"/>
      <c r="S34" s="13"/>
      <c r="T34" s="13"/>
      <c r="U34" s="13"/>
      <c r="V34" s="13"/>
      <c r="W34" s="13"/>
      <c r="X34" s="15"/>
      <c r="Y34" s="16"/>
      <c r="Z34" s="175"/>
      <c r="AA34" s="229"/>
      <c r="AB34" s="230"/>
      <c r="AC34" s="33" t="e">
        <f t="shared" si="0"/>
        <v>#N/A</v>
      </c>
      <c r="AD34" s="33" t="e">
        <f>VLOOKUP(S34,Data!$QH$2:$QI$4,2,FALSE)</f>
        <v>#N/A</v>
      </c>
      <c r="AF34" s="172" t="e">
        <f t="shared" si="1"/>
        <v>#N/A</v>
      </c>
      <c r="AI34" s="172" t="b">
        <f>IF(W34=Data!$KK$2,Data!$KM$1,IF(W34=Data!$KK$3,Data!$KN$1,IF(W34=Data!$KK$4,Data!$KP$1,IF(W34=Data!$KK$5,Data!$KQ$1))))</f>
        <v>0</v>
      </c>
      <c r="AJ34" s="33" t="str">
        <f>IF(D34=Data!$W$10,Data!$QJ$1,Data!$QK$1)</f>
        <v>RollerControl</v>
      </c>
      <c r="AM34" s="33" t="b">
        <f>IF(S34=Data!$PX$2,Data!$PZ$1,IF(S34=Data!$PX$3,Data!$PY$1,IF(S34=Data!$PX$4,Data!$QA$1)))</f>
        <v>0</v>
      </c>
      <c r="AO34" s="33" t="b">
        <f>IF(S34=Data!$PX$3,Data!$QB$1,IF(S34=Data!$PX$2,Data!$QC$1,IF(S34=Data!$PX$4,Data!$QD$1)))</f>
        <v>0</v>
      </c>
      <c r="AQ34" s="33" t="str">
        <f>IF(D34=Data!$W$3,Data!$QF$1,IF(D34=Data!$W$4,Data!$QF$1,IF(D34=Data!$W$5,Data!$QF$1,IF(D34=Data!$W$6,Data!$QF$1,IF(D34=Data!$W$7,Data!$QF$1,IF(D34=Data!$W$8,Data!$QF$1,IF(D34=Data!$W$9,Data!$QF$1,IF(D34=Data!$W$10,Data!$QE$1,IF(D34=Data!$W$11,Data!$QF$1,IF(D34=Data!$W$12,Data!$QF$1,IF(D34=Data!$W$13,Data!$QF$1,IF(D34=Data!$W$14,Data!$QF$1,IF(D34=Data!$W$15,Data!$QF$1,IF(D34=Data!$W$16,Data!$QF$1))))))))))))))</f>
        <v>RollerBracketType2</v>
      </c>
      <c r="BA34" s="40" t="str">
        <f>IF(AND(F34&lt;2130, OR(G34&lt;2100)),Data!$KS$1,Data!$KT$1)</f>
        <v>Small_Tube</v>
      </c>
      <c r="BB34" s="172" t="e">
        <f>MATCH(W34,Data!$LA$1:$LD$1,0)</f>
        <v>#N/A</v>
      </c>
      <c r="BC34" s="172">
        <f>MATCH('Roller Blinds'!BA34,Data!$KZ$2:$KZ$3,0)</f>
        <v>1</v>
      </c>
      <c r="BD34" s="172" t="e">
        <f>INDEX(Data!$LA$2:$LD$3,'Roller Blinds'!BC34,'Roller Blinds'!BB34)</f>
        <v>#N/A</v>
      </c>
      <c r="BG34" s="172" t="b">
        <f>IF(O34=Data!$QK$2,Data!$QL$1,IF(O34=Data!$QK$3,Data!$QM$1,IF(O34=Data!$QK$4,Data!$QN$1,IF(O34=Data!$QK$5,Data!$QO$1,IF(O34=Data!$QK$6,Data!$QP$1,IF(O34=Data!$QK$7,Data!$QQ$1,IF(O34=Data!$QK$8,Data!$QR$1,IF(O34=Data!$QK$9,Data!$QS$1, IF(O34=Data!$QK$10,Data!$QV$1, IF(O34=Data!$QK$11,Data!$QW$1))))))))))</f>
        <v>0</v>
      </c>
      <c r="BH34" s="33" t="b">
        <f>IF(O34=Data!$QK$2,Data!$QL$17,IF(O34=Data!$QK$3,Data!$QM$17,IF(O34=Data!$QK$4,Data!$QN$17,IF(O34=Data!$QK$5,Data!$QO$17,IF(O34=Data!$QK$6,Data!$QP$17,IF(O34=Data!$QK$7,Data!$QQ$17,IF(O34=Data!$QK$8,Data!$QR$17,IF(O34=Data!$QK$9,Data!$QS$17,IF(O34=Data!$QK$10,Data!$QV$17,IF(O34=Data!$QK$11,Data!$QW$17))))))))))</f>
        <v>0</v>
      </c>
      <c r="BI34" s="33" t="e">
        <f>VLOOKUP(O34,Data!$PU$13:$PV$22,2,FALSE)</f>
        <v>#N/A</v>
      </c>
      <c r="BJ34" s="33" t="e">
        <f>MATCH('Roller Blinds'!D34,Data!$AAK$2:$AAK$15)</f>
        <v>#N/A</v>
      </c>
      <c r="BK34" s="33" t="e">
        <f>MATCH(L34,Data!$AAL$1:$AAM$1)</f>
        <v>#N/A</v>
      </c>
      <c r="BL34" s="33" t="e">
        <f>INDEX(Data!$AAL$2:$AAM$15,BJ34,BK34)</f>
        <v>#N/A</v>
      </c>
    </row>
    <row r="35" spans="1:64" ht="30" customHeight="1" thickTop="1" thickBot="1">
      <c r="A35" s="52">
        <v>28</v>
      </c>
      <c r="B35" s="13"/>
      <c r="C35" s="13"/>
      <c r="D35" s="19"/>
      <c r="E35" s="15"/>
      <c r="F35" s="10"/>
      <c r="G35" s="10"/>
      <c r="H35" s="14"/>
      <c r="I35" s="14"/>
      <c r="J35" s="525"/>
      <c r="K35" s="526"/>
      <c r="L35" s="15"/>
      <c r="M35" s="15"/>
      <c r="N35" s="15"/>
      <c r="O35" s="577"/>
      <c r="P35" s="578"/>
      <c r="Q35" s="13"/>
      <c r="R35" s="13"/>
      <c r="S35" s="13"/>
      <c r="T35" s="13"/>
      <c r="U35" s="13"/>
      <c r="V35" s="13"/>
      <c r="W35" s="13"/>
      <c r="X35" s="15"/>
      <c r="Y35" s="16"/>
      <c r="Z35" s="175"/>
      <c r="AA35" s="229"/>
      <c r="AB35" s="230"/>
      <c r="AC35" s="33" t="e">
        <f t="shared" si="0"/>
        <v>#N/A</v>
      </c>
      <c r="AD35" s="33" t="e">
        <f>VLOOKUP(S35,Data!$QH$2:$QI$4,2,FALSE)</f>
        <v>#N/A</v>
      </c>
      <c r="AF35" s="172" t="e">
        <f t="shared" si="1"/>
        <v>#N/A</v>
      </c>
      <c r="AI35" s="172" t="b">
        <f>IF(W35=Data!$KK$2,Data!$KM$1,IF(W35=Data!$KK$3,Data!$KN$1,IF(W35=Data!$KK$4,Data!$KP$1,IF(W35=Data!$KK$5,Data!$KQ$1))))</f>
        <v>0</v>
      </c>
      <c r="AJ35" s="33" t="str">
        <f>IF(D35=Data!$W$10,Data!$QJ$1,Data!$QK$1)</f>
        <v>RollerControl</v>
      </c>
      <c r="AM35" s="33" t="b">
        <f>IF(S35=Data!$PX$2,Data!$PZ$1,IF(S35=Data!$PX$3,Data!$PY$1,IF(S35=Data!$PX$4,Data!$QA$1)))</f>
        <v>0</v>
      </c>
      <c r="AO35" s="33" t="b">
        <f>IF(S35=Data!$PX$3,Data!$QB$1,IF(S35=Data!$PX$2,Data!$QC$1,IF(S35=Data!$PX$4,Data!$QD$1)))</f>
        <v>0</v>
      </c>
      <c r="AQ35" s="33" t="str">
        <f>IF(D35=Data!$W$3,Data!$QF$1,IF(D35=Data!$W$4,Data!$QF$1,IF(D35=Data!$W$5,Data!$QF$1,IF(D35=Data!$W$6,Data!$QF$1,IF(D35=Data!$W$7,Data!$QF$1,IF(D35=Data!$W$8,Data!$QF$1,IF(D35=Data!$W$9,Data!$QF$1,IF(D35=Data!$W$10,Data!$QE$1,IF(D35=Data!$W$11,Data!$QF$1,IF(D35=Data!$W$12,Data!$QF$1,IF(D35=Data!$W$13,Data!$QF$1,IF(D35=Data!$W$14,Data!$QF$1,IF(D35=Data!$W$15,Data!$QF$1,IF(D35=Data!$W$16,Data!$QF$1))))))))))))))</f>
        <v>RollerBracketType2</v>
      </c>
      <c r="BA35" s="40" t="str">
        <f>IF(AND(F35&lt;2130, OR(G35&lt;2100)),Data!$KS$1,Data!$KT$1)</f>
        <v>Small_Tube</v>
      </c>
      <c r="BB35" s="172" t="e">
        <f>MATCH(W35,Data!$LA$1:$LD$1,0)</f>
        <v>#N/A</v>
      </c>
      <c r="BC35" s="172">
        <f>MATCH('Roller Blinds'!BA35,Data!$KZ$2:$KZ$3,0)</f>
        <v>1</v>
      </c>
      <c r="BD35" s="172" t="e">
        <f>INDEX(Data!$LA$2:$LD$3,'Roller Blinds'!BC35,'Roller Blinds'!BB35)</f>
        <v>#N/A</v>
      </c>
      <c r="BG35" s="172" t="b">
        <f>IF(O35=Data!$QK$2,Data!$QL$1,IF(O35=Data!$QK$3,Data!$QM$1,IF(O35=Data!$QK$4,Data!$QN$1,IF(O35=Data!$QK$5,Data!$QO$1,IF(O35=Data!$QK$6,Data!$QP$1,IF(O35=Data!$QK$7,Data!$QQ$1,IF(O35=Data!$QK$8,Data!$QR$1,IF(O35=Data!$QK$9,Data!$QS$1, IF(O35=Data!$QK$10,Data!$QV$1, IF(O35=Data!$QK$11,Data!$QW$1))))))))))</f>
        <v>0</v>
      </c>
      <c r="BH35" s="33" t="b">
        <f>IF(O35=Data!$QK$2,Data!$QL$17,IF(O35=Data!$QK$3,Data!$QM$17,IF(O35=Data!$QK$4,Data!$QN$17,IF(O35=Data!$QK$5,Data!$QO$17,IF(O35=Data!$QK$6,Data!$QP$17,IF(O35=Data!$QK$7,Data!$QQ$17,IF(O35=Data!$QK$8,Data!$QR$17,IF(O35=Data!$QK$9,Data!$QS$17,IF(O35=Data!$QK$10,Data!$QV$17,IF(O35=Data!$QK$11,Data!$QW$17))))))))))</f>
        <v>0</v>
      </c>
      <c r="BI35" s="33" t="e">
        <f>VLOOKUP(O35,Data!$PU$13:$PV$22,2,FALSE)</f>
        <v>#N/A</v>
      </c>
      <c r="BJ35" s="33" t="e">
        <f>MATCH('Roller Blinds'!D35,Data!$AAK$2:$AAK$15)</f>
        <v>#N/A</v>
      </c>
      <c r="BK35" s="33" t="e">
        <f>MATCH(L35,Data!$AAL$1:$AAM$1)</f>
        <v>#N/A</v>
      </c>
      <c r="BL35" s="33" t="e">
        <f>INDEX(Data!$AAL$2:$AAM$15,BJ35,BK35)</f>
        <v>#N/A</v>
      </c>
    </row>
    <row r="36" spans="1:64" ht="30" customHeight="1" thickTop="1" thickBot="1">
      <c r="A36" s="52">
        <v>29</v>
      </c>
      <c r="B36" s="13"/>
      <c r="C36" s="13"/>
      <c r="D36" s="19"/>
      <c r="E36" s="15"/>
      <c r="F36" s="10"/>
      <c r="G36" s="10"/>
      <c r="H36" s="14"/>
      <c r="I36" s="14"/>
      <c r="J36" s="525"/>
      <c r="K36" s="526"/>
      <c r="L36" s="15"/>
      <c r="M36" s="15"/>
      <c r="N36" s="15"/>
      <c r="O36" s="577"/>
      <c r="P36" s="578"/>
      <c r="Q36" s="13"/>
      <c r="R36" s="13"/>
      <c r="S36" s="13"/>
      <c r="T36" s="13"/>
      <c r="U36" s="13"/>
      <c r="V36" s="13"/>
      <c r="W36" s="13"/>
      <c r="X36" s="15"/>
      <c r="Y36" s="16"/>
      <c r="Z36" s="175"/>
      <c r="AA36" s="229"/>
      <c r="AB36" s="230"/>
      <c r="AC36" s="33" t="e">
        <f t="shared" si="0"/>
        <v>#N/A</v>
      </c>
      <c r="AD36" s="33" t="e">
        <f>VLOOKUP(S36,Data!$QH$2:$QI$4,2,FALSE)</f>
        <v>#N/A</v>
      </c>
      <c r="AF36" s="172" t="e">
        <f t="shared" si="1"/>
        <v>#N/A</v>
      </c>
      <c r="AI36" s="172" t="b">
        <f>IF(W36=Data!$KK$2,Data!$KM$1,IF(W36=Data!$KK$3,Data!$KN$1,IF(W36=Data!$KK$4,Data!$KP$1,IF(W36=Data!$KK$5,Data!$KQ$1))))</f>
        <v>0</v>
      </c>
      <c r="AJ36" s="33" t="str">
        <f>IF(D36=Data!$W$10,Data!$QJ$1,Data!$QK$1)</f>
        <v>RollerControl</v>
      </c>
      <c r="AM36" s="33" t="b">
        <f>IF(S36=Data!$PX$2,Data!$PZ$1,IF(S36=Data!$PX$3,Data!$PY$1,IF(S36=Data!$PX$4,Data!$QA$1)))</f>
        <v>0</v>
      </c>
      <c r="AO36" s="33" t="b">
        <f>IF(S36=Data!$PX$3,Data!$QB$1,IF(S36=Data!$PX$2,Data!$QC$1,IF(S36=Data!$PX$4,Data!$QD$1)))</f>
        <v>0</v>
      </c>
      <c r="AQ36" s="33" t="str">
        <f>IF(D36=Data!$W$3,Data!$QF$1,IF(D36=Data!$W$4,Data!$QF$1,IF(D36=Data!$W$5,Data!$QF$1,IF(D36=Data!$W$6,Data!$QF$1,IF(D36=Data!$W$7,Data!$QF$1,IF(D36=Data!$W$8,Data!$QF$1,IF(D36=Data!$W$9,Data!$QF$1,IF(D36=Data!$W$10,Data!$QE$1,IF(D36=Data!$W$11,Data!$QF$1,IF(D36=Data!$W$12,Data!$QF$1,IF(D36=Data!$W$13,Data!$QF$1,IF(D36=Data!$W$14,Data!$QF$1,IF(D36=Data!$W$15,Data!$QF$1,IF(D36=Data!$W$16,Data!$QF$1))))))))))))))</f>
        <v>RollerBracketType2</v>
      </c>
      <c r="BA36" s="40" t="str">
        <f>IF(AND(F36&lt;2130, OR(G36&lt;2100)),Data!$KS$1,Data!$KT$1)</f>
        <v>Small_Tube</v>
      </c>
      <c r="BB36" s="172" t="e">
        <f>MATCH(W36,Data!$LA$1:$LD$1,0)</f>
        <v>#N/A</v>
      </c>
      <c r="BC36" s="172">
        <f>MATCH('Roller Blinds'!BA36,Data!$KZ$2:$KZ$3,0)</f>
        <v>1</v>
      </c>
      <c r="BD36" s="172" t="e">
        <f>INDEX(Data!$LA$2:$LD$3,'Roller Blinds'!BC36,'Roller Blinds'!BB36)</f>
        <v>#N/A</v>
      </c>
      <c r="BG36" s="172" t="b">
        <f>IF(O36=Data!$QK$2,Data!$QL$1,IF(O36=Data!$QK$3,Data!$QM$1,IF(O36=Data!$QK$4,Data!$QN$1,IF(O36=Data!$QK$5,Data!$QO$1,IF(O36=Data!$QK$6,Data!$QP$1,IF(O36=Data!$QK$7,Data!$QQ$1,IF(O36=Data!$QK$8,Data!$QR$1,IF(O36=Data!$QK$9,Data!$QS$1, IF(O36=Data!$QK$10,Data!$QV$1, IF(O36=Data!$QK$11,Data!$QW$1))))))))))</f>
        <v>0</v>
      </c>
      <c r="BH36" s="33" t="b">
        <f>IF(O36=Data!$QK$2,Data!$QL$17,IF(O36=Data!$QK$3,Data!$QM$17,IF(O36=Data!$QK$4,Data!$QN$17,IF(O36=Data!$QK$5,Data!$QO$17,IF(O36=Data!$QK$6,Data!$QP$17,IF(O36=Data!$QK$7,Data!$QQ$17,IF(O36=Data!$QK$8,Data!$QR$17,IF(O36=Data!$QK$9,Data!$QS$17,IF(O36=Data!$QK$10,Data!$QV$17,IF(O36=Data!$QK$11,Data!$QW$17))))))))))</f>
        <v>0</v>
      </c>
      <c r="BI36" s="33" t="e">
        <f>VLOOKUP(O36,Data!$PU$13:$PV$22,2,FALSE)</f>
        <v>#N/A</v>
      </c>
      <c r="BJ36" s="33" t="e">
        <f>MATCH('Roller Blinds'!D36,Data!$AAK$2:$AAK$15)</f>
        <v>#N/A</v>
      </c>
      <c r="BK36" s="33" t="e">
        <f>MATCH(L36,Data!$AAL$1:$AAM$1)</f>
        <v>#N/A</v>
      </c>
      <c r="BL36" s="33" t="e">
        <f>INDEX(Data!$AAL$2:$AAM$15,BJ36,BK36)</f>
        <v>#N/A</v>
      </c>
    </row>
    <row r="37" spans="1:64" ht="30" customHeight="1" thickTop="1" thickBot="1">
      <c r="A37" s="52">
        <v>30</v>
      </c>
      <c r="B37" s="13"/>
      <c r="C37" s="13"/>
      <c r="D37" s="19"/>
      <c r="E37" s="15"/>
      <c r="F37" s="10"/>
      <c r="G37" s="10"/>
      <c r="H37" s="14"/>
      <c r="I37" s="14"/>
      <c r="J37" s="525"/>
      <c r="K37" s="526"/>
      <c r="L37" s="15"/>
      <c r="M37" s="15"/>
      <c r="N37" s="15"/>
      <c r="O37" s="577"/>
      <c r="P37" s="578"/>
      <c r="Q37" s="13"/>
      <c r="R37" s="13"/>
      <c r="S37" s="13"/>
      <c r="T37" s="13"/>
      <c r="U37" s="13"/>
      <c r="V37" s="13"/>
      <c r="W37" s="13"/>
      <c r="X37" s="15"/>
      <c r="Y37" s="16"/>
      <c r="Z37" s="175"/>
      <c r="AA37" s="229"/>
      <c r="AB37" s="230"/>
      <c r="AC37" s="33" t="e">
        <f t="shared" si="0"/>
        <v>#N/A</v>
      </c>
      <c r="AD37" s="33" t="e">
        <f>VLOOKUP(S37,Data!$QH$2:$QI$4,2,FALSE)</f>
        <v>#N/A</v>
      </c>
      <c r="AF37" s="172" t="e">
        <f t="shared" si="1"/>
        <v>#N/A</v>
      </c>
      <c r="AI37" s="172" t="b">
        <f>IF(W37=Data!$KK$2,Data!$KM$1,IF(W37=Data!$KK$3,Data!$KN$1,IF(W37=Data!$KK$4,Data!$KP$1,IF(W37=Data!$KK$5,Data!$KQ$1))))</f>
        <v>0</v>
      </c>
      <c r="AJ37" s="33" t="str">
        <f>IF(D37=Data!$W$10,Data!$QJ$1,Data!$QK$1)</f>
        <v>RollerControl</v>
      </c>
      <c r="AM37" s="33" t="b">
        <f>IF(S37=Data!$PX$2,Data!$PZ$1,IF(S37=Data!$PX$3,Data!$PY$1,IF(S37=Data!$PX$4,Data!$QA$1)))</f>
        <v>0</v>
      </c>
      <c r="AO37" s="33" t="b">
        <f>IF(S37=Data!$PX$3,Data!$QB$1,IF(S37=Data!$PX$2,Data!$QC$1,IF(S37=Data!$PX$4,Data!$QD$1)))</f>
        <v>0</v>
      </c>
      <c r="AQ37" s="33" t="str">
        <f>IF(D37=Data!$W$3,Data!$QF$1,IF(D37=Data!$W$4,Data!$QF$1,IF(D37=Data!$W$5,Data!$QF$1,IF(D37=Data!$W$6,Data!$QF$1,IF(D37=Data!$W$7,Data!$QF$1,IF(D37=Data!$W$8,Data!$QF$1,IF(D37=Data!$W$9,Data!$QF$1,IF(D37=Data!$W$10,Data!$QE$1,IF(D37=Data!$W$11,Data!$QF$1,IF(D37=Data!$W$12,Data!$QF$1,IF(D37=Data!$W$13,Data!$QF$1,IF(D37=Data!$W$14,Data!$QF$1,IF(D37=Data!$W$15,Data!$QF$1,IF(D37=Data!$W$16,Data!$QF$1))))))))))))))</f>
        <v>RollerBracketType2</v>
      </c>
      <c r="BA37" s="40" t="str">
        <f>IF(AND(F37&lt;2130, OR(G37&lt;2100)),Data!$KS$1,Data!$KT$1)</f>
        <v>Small_Tube</v>
      </c>
      <c r="BB37" s="172" t="e">
        <f>MATCH(W37,Data!$LA$1:$LD$1,0)</f>
        <v>#N/A</v>
      </c>
      <c r="BC37" s="172">
        <f>MATCH('Roller Blinds'!BA37,Data!$KZ$2:$KZ$3,0)</f>
        <v>1</v>
      </c>
      <c r="BD37" s="172" t="e">
        <f>INDEX(Data!$LA$2:$LD$3,'Roller Blinds'!BC37,'Roller Blinds'!BB37)</f>
        <v>#N/A</v>
      </c>
      <c r="BG37" s="172" t="b">
        <f>IF(O37=Data!$QK$2,Data!$QL$1,IF(O37=Data!$QK$3,Data!$QM$1,IF(O37=Data!$QK$4,Data!$QN$1,IF(O37=Data!$QK$5,Data!$QO$1,IF(O37=Data!$QK$6,Data!$QP$1,IF(O37=Data!$QK$7,Data!$QQ$1,IF(O37=Data!$QK$8,Data!$QR$1,IF(O37=Data!$QK$9,Data!$QS$1, IF(O37=Data!$QK$10,Data!$QV$1, IF(O37=Data!$QK$11,Data!$QW$1))))))))))</f>
        <v>0</v>
      </c>
      <c r="BH37" s="33" t="b">
        <f>IF(O37=Data!$QK$2,Data!$QL$17,IF(O37=Data!$QK$3,Data!$QM$17,IF(O37=Data!$QK$4,Data!$QN$17,IF(O37=Data!$QK$5,Data!$QO$17,IF(O37=Data!$QK$6,Data!$QP$17,IF(O37=Data!$QK$7,Data!$QQ$17,IF(O37=Data!$QK$8,Data!$QR$17,IF(O37=Data!$QK$9,Data!$QS$17,IF(O37=Data!$QK$10,Data!$QV$17,IF(O37=Data!$QK$11,Data!$QW$17))))))))))</f>
        <v>0</v>
      </c>
      <c r="BI37" s="33" t="e">
        <f>VLOOKUP(O37,Data!$PU$13:$PV$22,2,FALSE)</f>
        <v>#N/A</v>
      </c>
      <c r="BJ37" s="33" t="e">
        <f>MATCH('Roller Blinds'!D37,Data!$AAK$2:$AAK$15)</f>
        <v>#N/A</v>
      </c>
      <c r="BK37" s="33" t="e">
        <f>MATCH(L37,Data!$AAL$1:$AAM$1)</f>
        <v>#N/A</v>
      </c>
      <c r="BL37" s="33" t="e">
        <f>INDEX(Data!$AAL$2:$AAM$15,BJ37,BK37)</f>
        <v>#N/A</v>
      </c>
    </row>
    <row r="38" spans="1:64" ht="30" customHeight="1" thickTop="1" thickBot="1">
      <c r="A38" s="52">
        <v>31</v>
      </c>
      <c r="B38" s="13"/>
      <c r="C38" s="13"/>
      <c r="D38" s="19"/>
      <c r="E38" s="15"/>
      <c r="F38" s="10"/>
      <c r="G38" s="10"/>
      <c r="H38" s="14"/>
      <c r="I38" s="14"/>
      <c r="J38" s="525"/>
      <c r="K38" s="526"/>
      <c r="L38" s="15"/>
      <c r="M38" s="15"/>
      <c r="N38" s="15"/>
      <c r="O38" s="577"/>
      <c r="P38" s="578"/>
      <c r="Q38" s="13"/>
      <c r="R38" s="13"/>
      <c r="S38" s="13"/>
      <c r="T38" s="13"/>
      <c r="U38" s="13"/>
      <c r="V38" s="13"/>
      <c r="W38" s="13"/>
      <c r="X38" s="15"/>
      <c r="Y38" s="16"/>
      <c r="Z38" s="175"/>
      <c r="AA38" s="229"/>
      <c r="AB38" s="230"/>
      <c r="AC38" s="33" t="e">
        <f t="shared" si="0"/>
        <v>#N/A</v>
      </c>
      <c r="AD38" s="33" t="e">
        <f>VLOOKUP(S38,Data!$QH$2:$QI$4,2,FALSE)</f>
        <v>#N/A</v>
      </c>
      <c r="AF38" s="172" t="e">
        <f t="shared" si="1"/>
        <v>#N/A</v>
      </c>
      <c r="AI38" s="172" t="b">
        <f>IF(W38=Data!$KK$2,Data!$KM$1,IF(W38=Data!$KK$3,Data!$KN$1,IF(W38=Data!$KK$4,Data!$KP$1,IF(W38=Data!$KK$5,Data!$KQ$1))))</f>
        <v>0</v>
      </c>
      <c r="AJ38" s="33" t="str">
        <f>IF(D38=Data!$W$10,Data!$QJ$1,Data!$QK$1)</f>
        <v>RollerControl</v>
      </c>
      <c r="AM38" s="33" t="b">
        <f>IF(S38=Data!$PX$2,Data!$PZ$1,IF(S38=Data!$PX$3,Data!$PY$1,IF(S38=Data!$PX$4,Data!$QA$1)))</f>
        <v>0</v>
      </c>
      <c r="AO38" s="33" t="b">
        <f>IF(S38=Data!$PX$3,Data!$QB$1,IF(S38=Data!$PX$2,Data!$QC$1,IF(S38=Data!$PX$4,Data!$QD$1)))</f>
        <v>0</v>
      </c>
      <c r="AQ38" s="33" t="str">
        <f>IF(D38=Data!$W$3,Data!$QF$1,IF(D38=Data!$W$4,Data!$QF$1,IF(D38=Data!$W$5,Data!$QF$1,IF(D38=Data!$W$6,Data!$QF$1,IF(D38=Data!$W$7,Data!$QF$1,IF(D38=Data!$W$8,Data!$QF$1,IF(D38=Data!$W$9,Data!$QF$1,IF(D38=Data!$W$10,Data!$QE$1,IF(D38=Data!$W$11,Data!$QF$1,IF(D38=Data!$W$12,Data!$QF$1,IF(D38=Data!$W$13,Data!$QF$1,IF(D38=Data!$W$14,Data!$QF$1,IF(D38=Data!$W$15,Data!$QF$1,IF(D38=Data!$W$16,Data!$QF$1))))))))))))))</f>
        <v>RollerBracketType2</v>
      </c>
      <c r="BA38" s="40" t="str">
        <f>IF(AND(F38&lt;2130, OR(G38&lt;2100)),Data!$KS$1,Data!$KT$1)</f>
        <v>Small_Tube</v>
      </c>
      <c r="BB38" s="172" t="e">
        <f>MATCH(W38,Data!$LA$1:$LD$1,0)</f>
        <v>#N/A</v>
      </c>
      <c r="BC38" s="172">
        <f>MATCH('Roller Blinds'!BA38,Data!$KZ$2:$KZ$3,0)</f>
        <v>1</v>
      </c>
      <c r="BD38" s="172" t="e">
        <f>INDEX(Data!$LA$2:$LD$3,'Roller Blinds'!BC38,'Roller Blinds'!BB38)</f>
        <v>#N/A</v>
      </c>
      <c r="BG38" s="172" t="b">
        <f>IF(O38=Data!$QK$2,Data!$QL$1,IF(O38=Data!$QK$3,Data!$QM$1,IF(O38=Data!$QK$4,Data!$QN$1,IF(O38=Data!$QK$5,Data!$QO$1,IF(O38=Data!$QK$6,Data!$QP$1,IF(O38=Data!$QK$7,Data!$QQ$1,IF(O38=Data!$QK$8,Data!$QR$1,IF(O38=Data!$QK$9,Data!$QS$1, IF(O38=Data!$QK$10,Data!$QV$1, IF(O38=Data!$QK$11,Data!$QW$1))))))))))</f>
        <v>0</v>
      </c>
      <c r="BH38" s="33" t="b">
        <f>IF(O38=Data!$QK$2,Data!$QL$17,IF(O38=Data!$QK$3,Data!$QM$17,IF(O38=Data!$QK$4,Data!$QN$17,IF(O38=Data!$QK$5,Data!$QO$17,IF(O38=Data!$QK$6,Data!$QP$17,IF(O38=Data!$QK$7,Data!$QQ$17,IF(O38=Data!$QK$8,Data!$QR$17,IF(O38=Data!$QK$9,Data!$QS$17,IF(O38=Data!$QK$10,Data!$QV$17,IF(O38=Data!$QK$11,Data!$QW$17))))))))))</f>
        <v>0</v>
      </c>
      <c r="BI38" s="33" t="e">
        <f>VLOOKUP(O38,Data!$PU$13:$PV$22,2,FALSE)</f>
        <v>#N/A</v>
      </c>
      <c r="BJ38" s="33" t="e">
        <f>MATCH('Roller Blinds'!D38,Data!$AAK$2:$AAK$15)</f>
        <v>#N/A</v>
      </c>
      <c r="BK38" s="33" t="e">
        <f>MATCH(L38,Data!$AAL$1:$AAM$1)</f>
        <v>#N/A</v>
      </c>
      <c r="BL38" s="33" t="e">
        <f>INDEX(Data!$AAL$2:$AAM$15,BJ38,BK38)</f>
        <v>#N/A</v>
      </c>
    </row>
    <row r="39" spans="1:64" ht="30" customHeight="1" thickTop="1" thickBot="1">
      <c r="A39" s="52">
        <v>32</v>
      </c>
      <c r="B39" s="13"/>
      <c r="C39" s="13"/>
      <c r="D39" s="19"/>
      <c r="E39" s="15"/>
      <c r="F39" s="10"/>
      <c r="G39" s="10"/>
      <c r="H39" s="14"/>
      <c r="I39" s="14"/>
      <c r="J39" s="525"/>
      <c r="K39" s="526"/>
      <c r="L39" s="15"/>
      <c r="M39" s="15"/>
      <c r="N39" s="15"/>
      <c r="O39" s="577"/>
      <c r="P39" s="578"/>
      <c r="Q39" s="13"/>
      <c r="R39" s="13"/>
      <c r="S39" s="13"/>
      <c r="T39" s="13"/>
      <c r="U39" s="13"/>
      <c r="V39" s="13"/>
      <c r="W39" s="13"/>
      <c r="X39" s="15"/>
      <c r="Y39" s="16"/>
      <c r="Z39" s="175"/>
      <c r="AA39" s="229"/>
      <c r="AB39" s="230"/>
      <c r="AC39" s="33" t="e">
        <f t="shared" si="0"/>
        <v>#N/A</v>
      </c>
      <c r="AD39" s="33" t="e">
        <f>VLOOKUP(S39,Data!$QH$2:$QI$4,2,FALSE)</f>
        <v>#N/A</v>
      </c>
      <c r="AF39" s="172" t="e">
        <f t="shared" si="1"/>
        <v>#N/A</v>
      </c>
      <c r="AI39" s="172" t="b">
        <f>IF(W39=Data!$KK$2,Data!$KM$1,IF(W39=Data!$KK$3,Data!$KN$1,IF(W39=Data!$KK$4,Data!$KP$1,IF(W39=Data!$KK$5,Data!$KQ$1))))</f>
        <v>0</v>
      </c>
      <c r="AJ39" s="33" t="str">
        <f>IF(D39=Data!$W$10,Data!$QJ$1,Data!$QK$1)</f>
        <v>RollerControl</v>
      </c>
      <c r="AM39" s="33" t="b">
        <f>IF(S39=Data!$PX$2,Data!$PZ$1,IF(S39=Data!$PX$3,Data!$PY$1,IF(S39=Data!$PX$4,Data!$QA$1)))</f>
        <v>0</v>
      </c>
      <c r="AO39" s="33" t="b">
        <f>IF(S39=Data!$PX$3,Data!$QB$1,IF(S39=Data!$PX$2,Data!$QC$1,IF(S39=Data!$PX$4,Data!$QD$1)))</f>
        <v>0</v>
      </c>
      <c r="AQ39" s="33" t="str">
        <f>IF(D39=Data!$W$3,Data!$QF$1,IF(D39=Data!$W$4,Data!$QF$1,IF(D39=Data!$W$5,Data!$QF$1,IF(D39=Data!$W$6,Data!$QF$1,IF(D39=Data!$W$7,Data!$QF$1,IF(D39=Data!$W$8,Data!$QF$1,IF(D39=Data!$W$9,Data!$QF$1,IF(D39=Data!$W$10,Data!$QE$1,IF(D39=Data!$W$11,Data!$QF$1,IF(D39=Data!$W$12,Data!$QF$1,IF(D39=Data!$W$13,Data!$QF$1,IF(D39=Data!$W$14,Data!$QF$1,IF(D39=Data!$W$15,Data!$QF$1,IF(D39=Data!$W$16,Data!$QF$1))))))))))))))</f>
        <v>RollerBracketType2</v>
      </c>
      <c r="BA39" s="40" t="str">
        <f>IF(AND(F39&lt;2130, OR(G39&lt;2100)),Data!$KS$1,Data!$KT$1)</f>
        <v>Small_Tube</v>
      </c>
      <c r="BB39" s="172" t="e">
        <f>MATCH(W39,Data!$LA$1:$LD$1,0)</f>
        <v>#N/A</v>
      </c>
      <c r="BC39" s="172">
        <f>MATCH('Roller Blinds'!BA39,Data!$KZ$2:$KZ$3,0)</f>
        <v>1</v>
      </c>
      <c r="BD39" s="172" t="e">
        <f>INDEX(Data!$LA$2:$LD$3,'Roller Blinds'!BC39,'Roller Blinds'!BB39)</f>
        <v>#N/A</v>
      </c>
      <c r="BG39" s="172" t="b">
        <f>IF(O39=Data!$QK$2,Data!$QL$1,IF(O39=Data!$QK$3,Data!$QM$1,IF(O39=Data!$QK$4,Data!$QN$1,IF(O39=Data!$QK$5,Data!$QO$1,IF(O39=Data!$QK$6,Data!$QP$1,IF(O39=Data!$QK$7,Data!$QQ$1,IF(O39=Data!$QK$8,Data!$QR$1,IF(O39=Data!$QK$9,Data!$QS$1, IF(O39=Data!$QK$10,Data!$QV$1, IF(O39=Data!$QK$11,Data!$QW$1))))))))))</f>
        <v>0</v>
      </c>
      <c r="BH39" s="33" t="b">
        <f>IF(O39=Data!$QK$2,Data!$QL$17,IF(O39=Data!$QK$3,Data!$QM$17,IF(O39=Data!$QK$4,Data!$QN$17,IF(O39=Data!$QK$5,Data!$QO$17,IF(O39=Data!$QK$6,Data!$QP$17,IF(O39=Data!$QK$7,Data!$QQ$17,IF(O39=Data!$QK$8,Data!$QR$17,IF(O39=Data!$QK$9,Data!$QS$17,IF(O39=Data!$QK$10,Data!$QV$17,IF(O39=Data!$QK$11,Data!$QW$17))))))))))</f>
        <v>0</v>
      </c>
      <c r="BI39" s="33" t="e">
        <f>VLOOKUP(O39,Data!$PU$13:$PV$22,2,FALSE)</f>
        <v>#N/A</v>
      </c>
      <c r="BJ39" s="33" t="e">
        <f>MATCH('Roller Blinds'!D39,Data!$AAK$2:$AAK$15)</f>
        <v>#N/A</v>
      </c>
      <c r="BK39" s="33" t="e">
        <f>MATCH(L39,Data!$AAL$1:$AAM$1)</f>
        <v>#N/A</v>
      </c>
      <c r="BL39" s="33" t="e">
        <f>INDEX(Data!$AAL$2:$AAM$15,BJ39,BK39)</f>
        <v>#N/A</v>
      </c>
    </row>
    <row r="40" spans="1:64" ht="30" customHeight="1" thickTop="1" thickBot="1">
      <c r="A40" s="52">
        <v>33</v>
      </c>
      <c r="B40" s="13"/>
      <c r="C40" s="13"/>
      <c r="D40" s="19"/>
      <c r="E40" s="15"/>
      <c r="F40" s="10"/>
      <c r="G40" s="10"/>
      <c r="H40" s="14"/>
      <c r="I40" s="14"/>
      <c r="J40" s="525"/>
      <c r="K40" s="526"/>
      <c r="L40" s="15"/>
      <c r="M40" s="15"/>
      <c r="N40" s="15"/>
      <c r="O40" s="577"/>
      <c r="P40" s="578"/>
      <c r="Q40" s="13"/>
      <c r="R40" s="13"/>
      <c r="S40" s="13"/>
      <c r="T40" s="13"/>
      <c r="U40" s="13"/>
      <c r="V40" s="13"/>
      <c r="W40" s="13"/>
      <c r="X40" s="15"/>
      <c r="Y40" s="16"/>
      <c r="Z40" s="175"/>
      <c r="AA40" s="229"/>
      <c r="AB40" s="230"/>
      <c r="AC40" s="33" t="e">
        <f t="shared" si="0"/>
        <v>#N/A</v>
      </c>
      <c r="AD40" s="33" t="e">
        <f>VLOOKUP(S40,Data!$QH$2:$QI$4,2,FALSE)</f>
        <v>#N/A</v>
      </c>
      <c r="AF40" s="172" t="e">
        <f t="shared" si="1"/>
        <v>#N/A</v>
      </c>
      <c r="AI40" s="172" t="b">
        <f>IF(W40=Data!$KK$2,Data!$KM$1,IF(W40=Data!$KK$3,Data!$KN$1,IF(W40=Data!$KK$4,Data!$KP$1,IF(W40=Data!$KK$5,Data!$KQ$1))))</f>
        <v>0</v>
      </c>
      <c r="AJ40" s="33" t="str">
        <f>IF(D40=Data!$W$10,Data!$QJ$1,Data!$QK$1)</f>
        <v>RollerControl</v>
      </c>
      <c r="AM40" s="33" t="b">
        <f>IF(S40=Data!$PX$2,Data!$PZ$1,IF(S40=Data!$PX$3,Data!$PY$1,IF(S40=Data!$PX$4,Data!$QA$1)))</f>
        <v>0</v>
      </c>
      <c r="AO40" s="33" t="b">
        <f>IF(S40=Data!$PX$3,Data!$QB$1,IF(S40=Data!$PX$2,Data!$QC$1,IF(S40=Data!$PX$4,Data!$QD$1)))</f>
        <v>0</v>
      </c>
      <c r="AQ40" s="33" t="str">
        <f>IF(D40=Data!$W$3,Data!$QF$1,IF(D40=Data!$W$4,Data!$QF$1,IF(D40=Data!$W$5,Data!$QF$1,IF(D40=Data!$W$6,Data!$QF$1,IF(D40=Data!$W$7,Data!$QF$1,IF(D40=Data!$W$8,Data!$QF$1,IF(D40=Data!$W$9,Data!$QF$1,IF(D40=Data!$W$10,Data!$QE$1,IF(D40=Data!$W$11,Data!$QF$1,IF(D40=Data!$W$12,Data!$QF$1,IF(D40=Data!$W$13,Data!$QF$1,IF(D40=Data!$W$14,Data!$QF$1,IF(D40=Data!$W$15,Data!$QF$1,IF(D40=Data!$W$16,Data!$QF$1))))))))))))))</f>
        <v>RollerBracketType2</v>
      </c>
      <c r="BA40" s="40" t="str">
        <f>IF(AND(F40&lt;2130, OR(G40&lt;2100)),Data!$KS$1,Data!$KT$1)</f>
        <v>Small_Tube</v>
      </c>
      <c r="BB40" s="172" t="e">
        <f>MATCH(W40,Data!$LA$1:$LD$1,0)</f>
        <v>#N/A</v>
      </c>
      <c r="BC40" s="172">
        <f>MATCH('Roller Blinds'!BA40,Data!$KZ$2:$KZ$3,0)</f>
        <v>1</v>
      </c>
      <c r="BD40" s="172" t="e">
        <f>INDEX(Data!$LA$2:$LD$3,'Roller Blinds'!BC40,'Roller Blinds'!BB40)</f>
        <v>#N/A</v>
      </c>
      <c r="BG40" s="172" t="b">
        <f>IF(O40=Data!$QK$2,Data!$QL$1,IF(O40=Data!$QK$3,Data!$QM$1,IF(O40=Data!$QK$4,Data!$QN$1,IF(O40=Data!$QK$5,Data!$QO$1,IF(O40=Data!$QK$6,Data!$QP$1,IF(O40=Data!$QK$7,Data!$QQ$1,IF(O40=Data!$QK$8,Data!$QR$1,IF(O40=Data!$QK$9,Data!$QS$1, IF(O40=Data!$QK$10,Data!$QV$1, IF(O40=Data!$QK$11,Data!$QW$1))))))))))</f>
        <v>0</v>
      </c>
      <c r="BH40" s="33" t="b">
        <f>IF(O40=Data!$QK$2,Data!$QL$17,IF(O40=Data!$QK$3,Data!$QM$17,IF(O40=Data!$QK$4,Data!$QN$17,IF(O40=Data!$QK$5,Data!$QO$17,IF(O40=Data!$QK$6,Data!$QP$17,IF(O40=Data!$QK$7,Data!$QQ$17,IF(O40=Data!$QK$8,Data!$QR$17,IF(O40=Data!$QK$9,Data!$QS$17,IF(O40=Data!$QK$10,Data!$QV$17,IF(O40=Data!$QK$11,Data!$QW$17))))))))))</f>
        <v>0</v>
      </c>
      <c r="BI40" s="33" t="e">
        <f>VLOOKUP(O40,Data!$PU$13:$PV$22,2,FALSE)</f>
        <v>#N/A</v>
      </c>
      <c r="BJ40" s="33" t="e">
        <f>MATCH('Roller Blinds'!D40,Data!$AAK$2:$AAK$15)</f>
        <v>#N/A</v>
      </c>
      <c r="BK40" s="33" t="e">
        <f>MATCH(L40,Data!$AAL$1:$AAM$1)</f>
        <v>#N/A</v>
      </c>
      <c r="BL40" s="33" t="e">
        <f>INDEX(Data!$AAL$2:$AAM$15,BJ40,BK40)</f>
        <v>#N/A</v>
      </c>
    </row>
    <row r="41" spans="1:64" ht="30" customHeight="1" thickTop="1" thickBot="1">
      <c r="A41" s="52">
        <v>34</v>
      </c>
      <c r="B41" s="13"/>
      <c r="C41" s="13"/>
      <c r="D41" s="19"/>
      <c r="E41" s="15"/>
      <c r="F41" s="10"/>
      <c r="G41" s="10"/>
      <c r="H41" s="14"/>
      <c r="I41" s="14"/>
      <c r="J41" s="525"/>
      <c r="K41" s="526"/>
      <c r="L41" s="15"/>
      <c r="M41" s="15"/>
      <c r="N41" s="15"/>
      <c r="O41" s="577"/>
      <c r="P41" s="578"/>
      <c r="Q41" s="13"/>
      <c r="R41" s="13"/>
      <c r="S41" s="13"/>
      <c r="T41" s="13"/>
      <c r="U41" s="13"/>
      <c r="V41" s="13"/>
      <c r="W41" s="13"/>
      <c r="X41" s="15"/>
      <c r="Y41" s="16"/>
      <c r="Z41" s="175"/>
      <c r="AA41" s="229"/>
      <c r="AB41" s="230"/>
      <c r="AC41" s="33" t="e">
        <f t="shared" si="0"/>
        <v>#N/A</v>
      </c>
      <c r="AD41" s="33" t="e">
        <f>VLOOKUP(S41,Data!$QH$2:$QI$4,2,FALSE)</f>
        <v>#N/A</v>
      </c>
      <c r="AF41" s="172" t="e">
        <f t="shared" si="1"/>
        <v>#N/A</v>
      </c>
      <c r="AI41" s="172" t="b">
        <f>IF(W41=Data!$KK$2,Data!$KM$1,IF(W41=Data!$KK$3,Data!$KN$1,IF(W41=Data!$KK$4,Data!$KP$1,IF(W41=Data!$KK$5,Data!$KQ$1))))</f>
        <v>0</v>
      </c>
      <c r="AJ41" s="33" t="str">
        <f>IF(D41=Data!$W$10,Data!$QJ$1,Data!$QK$1)</f>
        <v>RollerControl</v>
      </c>
      <c r="AM41" s="33" t="b">
        <f>IF(S41=Data!$PX$2,Data!$PZ$1,IF(S41=Data!$PX$3,Data!$PY$1,IF(S41=Data!$PX$4,Data!$QA$1)))</f>
        <v>0</v>
      </c>
      <c r="AO41" s="33" t="b">
        <f>IF(S41=Data!$PX$3,Data!$QB$1,IF(S41=Data!$PX$2,Data!$QC$1,IF(S41=Data!$PX$4,Data!$QD$1)))</f>
        <v>0</v>
      </c>
      <c r="AQ41" s="33" t="str">
        <f>IF(D41=Data!$W$3,Data!$QF$1,IF(D41=Data!$W$4,Data!$QF$1,IF(D41=Data!$W$5,Data!$QF$1,IF(D41=Data!$W$6,Data!$QF$1,IF(D41=Data!$W$7,Data!$QF$1,IF(D41=Data!$W$8,Data!$QF$1,IF(D41=Data!$W$9,Data!$QF$1,IF(D41=Data!$W$10,Data!$QE$1,IF(D41=Data!$W$11,Data!$QF$1,IF(D41=Data!$W$12,Data!$QF$1,IF(D41=Data!$W$13,Data!$QF$1,IF(D41=Data!$W$14,Data!$QF$1,IF(D41=Data!$W$15,Data!$QF$1,IF(D41=Data!$W$16,Data!$QF$1))))))))))))))</f>
        <v>RollerBracketType2</v>
      </c>
      <c r="BA41" s="40" t="str">
        <f>IF(AND(F41&lt;2130, OR(G41&lt;2100)),Data!$KS$1,Data!$KT$1)</f>
        <v>Small_Tube</v>
      </c>
      <c r="BB41" s="172" t="e">
        <f>MATCH(W41,Data!$LA$1:$LD$1,0)</f>
        <v>#N/A</v>
      </c>
      <c r="BC41" s="172">
        <f>MATCH('Roller Blinds'!BA41,Data!$KZ$2:$KZ$3,0)</f>
        <v>1</v>
      </c>
      <c r="BD41" s="172" t="e">
        <f>INDEX(Data!$LA$2:$LD$3,'Roller Blinds'!BC41,'Roller Blinds'!BB41)</f>
        <v>#N/A</v>
      </c>
      <c r="BG41" s="172" t="b">
        <f>IF(O41=Data!$QK$2,Data!$QL$1,IF(O41=Data!$QK$3,Data!$QM$1,IF(O41=Data!$QK$4,Data!$QN$1,IF(O41=Data!$QK$5,Data!$QO$1,IF(O41=Data!$QK$6,Data!$QP$1,IF(O41=Data!$QK$7,Data!$QQ$1,IF(O41=Data!$QK$8,Data!$QR$1,IF(O41=Data!$QK$9,Data!$QS$1, IF(O41=Data!$QK$10,Data!$QV$1, IF(O41=Data!$QK$11,Data!$QW$1))))))))))</f>
        <v>0</v>
      </c>
      <c r="BH41" s="33" t="b">
        <f>IF(O41=Data!$QK$2,Data!$QL$17,IF(O41=Data!$QK$3,Data!$QM$17,IF(O41=Data!$QK$4,Data!$QN$17,IF(O41=Data!$QK$5,Data!$QO$17,IF(O41=Data!$QK$6,Data!$QP$17,IF(O41=Data!$QK$7,Data!$QQ$17,IF(O41=Data!$QK$8,Data!$QR$17,IF(O41=Data!$QK$9,Data!$QS$17,IF(O41=Data!$QK$10,Data!$QV$17,IF(O41=Data!$QK$11,Data!$QW$17))))))))))</f>
        <v>0</v>
      </c>
      <c r="BI41" s="33" t="e">
        <f>VLOOKUP(O41,Data!$PU$13:$PV$22,2,FALSE)</f>
        <v>#N/A</v>
      </c>
      <c r="BJ41" s="33" t="e">
        <f>MATCH('Roller Blinds'!D41,Data!$AAK$2:$AAK$15)</f>
        <v>#N/A</v>
      </c>
      <c r="BK41" s="33" t="e">
        <f>MATCH(L41,Data!$AAL$1:$AAM$1)</f>
        <v>#N/A</v>
      </c>
      <c r="BL41" s="33" t="e">
        <f>INDEX(Data!$AAL$2:$AAM$15,BJ41,BK41)</f>
        <v>#N/A</v>
      </c>
    </row>
    <row r="42" spans="1:64" ht="30" customHeight="1" thickTop="1" thickBot="1">
      <c r="A42" s="52">
        <v>35</v>
      </c>
      <c r="B42" s="13"/>
      <c r="C42" s="13"/>
      <c r="D42" s="19"/>
      <c r="E42" s="15"/>
      <c r="F42" s="10"/>
      <c r="G42" s="10"/>
      <c r="H42" s="14"/>
      <c r="I42" s="14"/>
      <c r="J42" s="525"/>
      <c r="K42" s="526"/>
      <c r="L42" s="15"/>
      <c r="M42" s="15"/>
      <c r="N42" s="15"/>
      <c r="O42" s="577"/>
      <c r="P42" s="578"/>
      <c r="Q42" s="13"/>
      <c r="R42" s="13"/>
      <c r="S42" s="13"/>
      <c r="T42" s="13"/>
      <c r="U42" s="13"/>
      <c r="V42" s="13"/>
      <c r="W42" s="13"/>
      <c r="X42" s="15"/>
      <c r="Y42" s="16"/>
      <c r="Z42" s="175"/>
      <c r="AA42" s="229"/>
      <c r="AB42" s="230"/>
      <c r="AC42" s="33" t="e">
        <f t="shared" si="0"/>
        <v>#N/A</v>
      </c>
      <c r="AD42" s="33" t="e">
        <f>VLOOKUP(S42,Data!$QH$2:$QI$4,2,FALSE)</f>
        <v>#N/A</v>
      </c>
      <c r="AF42" s="172" t="e">
        <f t="shared" si="1"/>
        <v>#N/A</v>
      </c>
      <c r="AI42" s="172" t="b">
        <f>IF(W42=Data!$KK$2,Data!$KM$1,IF(W42=Data!$KK$3,Data!$KN$1,IF(W42=Data!$KK$4,Data!$KP$1,IF(W42=Data!$KK$5,Data!$KQ$1))))</f>
        <v>0</v>
      </c>
      <c r="AJ42" s="33" t="str">
        <f>IF(D42=Data!$W$10,Data!$QJ$1,Data!$QK$1)</f>
        <v>RollerControl</v>
      </c>
      <c r="AM42" s="33" t="b">
        <f>IF(S42=Data!$PX$2,Data!$PZ$1,IF(S42=Data!$PX$3,Data!$PY$1,IF(S42=Data!$PX$4,Data!$QA$1)))</f>
        <v>0</v>
      </c>
      <c r="AO42" s="33" t="b">
        <f>IF(S42=Data!$PX$3,Data!$QB$1,IF(S42=Data!$PX$2,Data!$QC$1,IF(S42=Data!$PX$4,Data!$QD$1)))</f>
        <v>0</v>
      </c>
      <c r="AQ42" s="33" t="str">
        <f>IF(D42=Data!$W$3,Data!$QF$1,IF(D42=Data!$W$4,Data!$QF$1,IF(D42=Data!$W$5,Data!$QF$1,IF(D42=Data!$W$6,Data!$QF$1,IF(D42=Data!$W$7,Data!$QF$1,IF(D42=Data!$W$8,Data!$QF$1,IF(D42=Data!$W$9,Data!$QF$1,IF(D42=Data!$W$10,Data!$QE$1,IF(D42=Data!$W$11,Data!$QF$1,IF(D42=Data!$W$12,Data!$QF$1,IF(D42=Data!$W$13,Data!$QF$1,IF(D42=Data!$W$14,Data!$QF$1,IF(D42=Data!$W$15,Data!$QF$1,IF(D42=Data!$W$16,Data!$QF$1))))))))))))))</f>
        <v>RollerBracketType2</v>
      </c>
      <c r="BA42" s="40" t="str">
        <f>IF(AND(F42&lt;2130, OR(G42&lt;2100)),Data!$KS$1,Data!$KT$1)</f>
        <v>Small_Tube</v>
      </c>
      <c r="BB42" s="172" t="e">
        <f>MATCH(W42,Data!$LA$1:$LD$1,0)</f>
        <v>#N/A</v>
      </c>
      <c r="BC42" s="172">
        <f>MATCH('Roller Blinds'!BA42,Data!$KZ$2:$KZ$3,0)</f>
        <v>1</v>
      </c>
      <c r="BD42" s="172" t="e">
        <f>INDEX(Data!$LA$2:$LD$3,'Roller Blinds'!BC42,'Roller Blinds'!BB42)</f>
        <v>#N/A</v>
      </c>
      <c r="BG42" s="172" t="b">
        <f>IF(O42=Data!$QK$2,Data!$QL$1,IF(O42=Data!$QK$3,Data!$QM$1,IF(O42=Data!$QK$4,Data!$QN$1,IF(O42=Data!$QK$5,Data!$QO$1,IF(O42=Data!$QK$6,Data!$QP$1,IF(O42=Data!$QK$7,Data!$QQ$1,IF(O42=Data!$QK$8,Data!$QR$1,IF(O42=Data!$QK$9,Data!$QS$1, IF(O42=Data!$QK$10,Data!$QV$1, IF(O42=Data!$QK$11,Data!$QW$1))))))))))</f>
        <v>0</v>
      </c>
      <c r="BH42" s="33" t="b">
        <f>IF(O42=Data!$QK$2,Data!$QL$17,IF(O42=Data!$QK$3,Data!$QM$17,IF(O42=Data!$QK$4,Data!$QN$17,IF(O42=Data!$QK$5,Data!$QO$17,IF(O42=Data!$QK$6,Data!$QP$17,IF(O42=Data!$QK$7,Data!$QQ$17,IF(O42=Data!$QK$8,Data!$QR$17,IF(O42=Data!$QK$9,Data!$QS$17,IF(O42=Data!$QK$10,Data!$QV$17,IF(O42=Data!$QK$11,Data!$QW$17))))))))))</f>
        <v>0</v>
      </c>
      <c r="BI42" s="33" t="e">
        <f>VLOOKUP(O42,Data!$PU$13:$PV$22,2,FALSE)</f>
        <v>#N/A</v>
      </c>
      <c r="BJ42" s="33" t="e">
        <f>MATCH('Roller Blinds'!D42,Data!$AAK$2:$AAK$15)</f>
        <v>#N/A</v>
      </c>
      <c r="BK42" s="33" t="e">
        <f>MATCH(L42,Data!$AAL$1:$AAM$1)</f>
        <v>#N/A</v>
      </c>
      <c r="BL42" s="33" t="e">
        <f>INDEX(Data!$AAL$2:$AAM$15,BJ42,BK42)</f>
        <v>#N/A</v>
      </c>
    </row>
    <row r="43" spans="1:64" ht="30" customHeight="1" thickTop="1" thickBot="1">
      <c r="A43" s="52">
        <v>36</v>
      </c>
      <c r="B43" s="13"/>
      <c r="C43" s="13"/>
      <c r="D43" s="19"/>
      <c r="E43" s="15"/>
      <c r="F43" s="10"/>
      <c r="G43" s="10"/>
      <c r="H43" s="14"/>
      <c r="I43" s="14"/>
      <c r="J43" s="525"/>
      <c r="K43" s="526"/>
      <c r="L43" s="15"/>
      <c r="M43" s="15"/>
      <c r="N43" s="15"/>
      <c r="O43" s="577"/>
      <c r="P43" s="578"/>
      <c r="Q43" s="13"/>
      <c r="R43" s="13"/>
      <c r="S43" s="13"/>
      <c r="T43" s="13"/>
      <c r="U43" s="13"/>
      <c r="V43" s="13"/>
      <c r="W43" s="13"/>
      <c r="X43" s="15"/>
      <c r="Y43" s="16"/>
      <c r="Z43" s="175"/>
      <c r="AA43" s="229"/>
      <c r="AB43" s="230"/>
      <c r="AC43" s="33" t="e">
        <f t="shared" si="0"/>
        <v>#N/A</v>
      </c>
      <c r="AD43" s="33" t="e">
        <f>VLOOKUP(S43,Data!$QH$2:$QI$4,2,FALSE)</f>
        <v>#N/A</v>
      </c>
      <c r="AF43" s="172" t="e">
        <f t="shared" si="1"/>
        <v>#N/A</v>
      </c>
      <c r="AI43" s="172" t="b">
        <f>IF(W43=Data!$KK$2,Data!$KM$1,IF(W43=Data!$KK$3,Data!$KN$1,IF(W43=Data!$KK$4,Data!$KP$1,IF(W43=Data!$KK$5,Data!$KQ$1))))</f>
        <v>0</v>
      </c>
      <c r="AJ43" s="33" t="str">
        <f>IF(D43=Data!$W$10,Data!$QJ$1,Data!$QK$1)</f>
        <v>RollerControl</v>
      </c>
      <c r="AM43" s="33" t="b">
        <f>IF(S43=Data!$PX$2,Data!$PZ$1,IF(S43=Data!$PX$3,Data!$PY$1,IF(S43=Data!$PX$4,Data!$QA$1)))</f>
        <v>0</v>
      </c>
      <c r="AO43" s="33" t="b">
        <f>IF(S43=Data!$PX$3,Data!$QB$1,IF(S43=Data!$PX$2,Data!$QC$1,IF(S43=Data!$PX$4,Data!$QD$1)))</f>
        <v>0</v>
      </c>
      <c r="AQ43" s="33" t="str">
        <f>IF(D43=Data!$W$3,Data!$QF$1,IF(D43=Data!$W$4,Data!$QF$1,IF(D43=Data!$W$5,Data!$QF$1,IF(D43=Data!$W$6,Data!$QF$1,IF(D43=Data!$W$7,Data!$QF$1,IF(D43=Data!$W$8,Data!$QF$1,IF(D43=Data!$W$9,Data!$QF$1,IF(D43=Data!$W$10,Data!$QE$1,IF(D43=Data!$W$11,Data!$QF$1,IF(D43=Data!$W$12,Data!$QF$1,IF(D43=Data!$W$13,Data!$QF$1,IF(D43=Data!$W$14,Data!$QF$1,IF(D43=Data!$W$15,Data!$QF$1,IF(D43=Data!$W$16,Data!$QF$1))))))))))))))</f>
        <v>RollerBracketType2</v>
      </c>
      <c r="BA43" s="40" t="str">
        <f>IF(AND(F43&lt;2130, OR(G43&lt;2100)),Data!$KS$1,Data!$KT$1)</f>
        <v>Small_Tube</v>
      </c>
      <c r="BB43" s="172" t="e">
        <f>MATCH(W43,Data!$LA$1:$LD$1,0)</f>
        <v>#N/A</v>
      </c>
      <c r="BC43" s="172">
        <f>MATCH('Roller Blinds'!BA43,Data!$KZ$2:$KZ$3,0)</f>
        <v>1</v>
      </c>
      <c r="BD43" s="172" t="e">
        <f>INDEX(Data!$LA$2:$LD$3,'Roller Blinds'!BC43,'Roller Blinds'!BB43)</f>
        <v>#N/A</v>
      </c>
      <c r="BG43" s="172" t="b">
        <f>IF(O43=Data!$QK$2,Data!$QL$1,IF(O43=Data!$QK$3,Data!$QM$1,IF(O43=Data!$QK$4,Data!$QN$1,IF(O43=Data!$QK$5,Data!$QO$1,IF(O43=Data!$QK$6,Data!$QP$1,IF(O43=Data!$QK$7,Data!$QQ$1,IF(O43=Data!$QK$8,Data!$QR$1,IF(O43=Data!$QK$9,Data!$QS$1, IF(O43=Data!$QK$10,Data!$QV$1, IF(O43=Data!$QK$11,Data!$QW$1))))))))))</f>
        <v>0</v>
      </c>
      <c r="BH43" s="33" t="b">
        <f>IF(O43=Data!$QK$2,Data!$QL$17,IF(O43=Data!$QK$3,Data!$QM$17,IF(O43=Data!$QK$4,Data!$QN$17,IF(O43=Data!$QK$5,Data!$QO$17,IF(O43=Data!$QK$6,Data!$QP$17,IF(O43=Data!$QK$7,Data!$QQ$17,IF(O43=Data!$QK$8,Data!$QR$17,IF(O43=Data!$QK$9,Data!$QS$17,IF(O43=Data!$QK$10,Data!$QV$17,IF(O43=Data!$QK$11,Data!$QW$17))))))))))</f>
        <v>0</v>
      </c>
      <c r="BI43" s="33" t="e">
        <f>VLOOKUP(O43,Data!$PU$13:$PV$22,2,FALSE)</f>
        <v>#N/A</v>
      </c>
      <c r="BJ43" s="33" t="e">
        <f>MATCH('Roller Blinds'!D43,Data!$AAK$2:$AAK$15)</f>
        <v>#N/A</v>
      </c>
      <c r="BK43" s="33" t="e">
        <f>MATCH(L43,Data!$AAL$1:$AAM$1)</f>
        <v>#N/A</v>
      </c>
      <c r="BL43" s="33" t="e">
        <f>INDEX(Data!$AAL$2:$AAM$15,BJ43,BK43)</f>
        <v>#N/A</v>
      </c>
    </row>
    <row r="44" spans="1:64" ht="30" customHeight="1" thickTop="1" thickBot="1">
      <c r="A44" s="52">
        <v>37</v>
      </c>
      <c r="B44" s="13"/>
      <c r="C44" s="13"/>
      <c r="D44" s="19"/>
      <c r="E44" s="15"/>
      <c r="F44" s="10"/>
      <c r="G44" s="10"/>
      <c r="H44" s="14"/>
      <c r="I44" s="14"/>
      <c r="J44" s="525"/>
      <c r="K44" s="526"/>
      <c r="L44" s="15"/>
      <c r="M44" s="15"/>
      <c r="N44" s="15"/>
      <c r="O44" s="577"/>
      <c r="P44" s="578"/>
      <c r="Q44" s="13"/>
      <c r="R44" s="13"/>
      <c r="S44" s="13"/>
      <c r="T44" s="13"/>
      <c r="U44" s="13"/>
      <c r="V44" s="13"/>
      <c r="W44" s="13"/>
      <c r="X44" s="15"/>
      <c r="Y44" s="16"/>
      <c r="Z44" s="175"/>
      <c r="AA44" s="229"/>
      <c r="AB44" s="230"/>
      <c r="AC44" s="33" t="e">
        <f t="shared" si="0"/>
        <v>#N/A</v>
      </c>
      <c r="AD44" s="33" t="e">
        <f>VLOOKUP(S44,Data!$QH$2:$QI$4,2,FALSE)</f>
        <v>#N/A</v>
      </c>
      <c r="AF44" s="172" t="e">
        <f t="shared" si="1"/>
        <v>#N/A</v>
      </c>
      <c r="AI44" s="172" t="b">
        <f>IF(W44=Data!$KK$2,Data!$KM$1,IF(W44=Data!$KK$3,Data!$KN$1,IF(W44=Data!$KK$4,Data!$KP$1,IF(W44=Data!$KK$5,Data!$KQ$1))))</f>
        <v>0</v>
      </c>
      <c r="AJ44" s="33" t="str">
        <f>IF(D44=Data!$W$10,Data!$QJ$1,Data!$QK$1)</f>
        <v>RollerControl</v>
      </c>
      <c r="AM44" s="33" t="b">
        <f>IF(S44=Data!$PX$2,Data!$PZ$1,IF(S44=Data!$PX$3,Data!$PY$1,IF(S44=Data!$PX$4,Data!$QA$1)))</f>
        <v>0</v>
      </c>
      <c r="AO44" s="33" t="b">
        <f>IF(S44=Data!$PX$3,Data!$QB$1,IF(S44=Data!$PX$2,Data!$QC$1,IF(S44=Data!$PX$4,Data!$QD$1)))</f>
        <v>0</v>
      </c>
      <c r="AQ44" s="33" t="str">
        <f>IF(D44=Data!$W$3,Data!$QF$1,IF(D44=Data!$W$4,Data!$QF$1,IF(D44=Data!$W$5,Data!$QF$1,IF(D44=Data!$W$6,Data!$QF$1,IF(D44=Data!$W$7,Data!$QF$1,IF(D44=Data!$W$8,Data!$QF$1,IF(D44=Data!$W$9,Data!$QF$1,IF(D44=Data!$W$10,Data!$QE$1,IF(D44=Data!$W$11,Data!$QF$1,IF(D44=Data!$W$12,Data!$QF$1,IF(D44=Data!$W$13,Data!$QF$1,IF(D44=Data!$W$14,Data!$QF$1,IF(D44=Data!$W$15,Data!$QF$1,IF(D44=Data!$W$16,Data!$QF$1))))))))))))))</f>
        <v>RollerBracketType2</v>
      </c>
      <c r="BA44" s="40" t="str">
        <f>IF(AND(F44&lt;2130, OR(G44&lt;2100)),Data!$KS$1,Data!$KT$1)</f>
        <v>Small_Tube</v>
      </c>
      <c r="BB44" s="172" t="e">
        <f>MATCH(W44,Data!$LA$1:$LD$1,0)</f>
        <v>#N/A</v>
      </c>
      <c r="BC44" s="172">
        <f>MATCH('Roller Blinds'!BA44,Data!$KZ$2:$KZ$3,0)</f>
        <v>1</v>
      </c>
      <c r="BD44" s="172" t="e">
        <f>INDEX(Data!$LA$2:$LD$3,'Roller Blinds'!BC44,'Roller Blinds'!BB44)</f>
        <v>#N/A</v>
      </c>
      <c r="BG44" s="172" t="b">
        <f>IF(O44=Data!$QK$2,Data!$QL$1,IF(O44=Data!$QK$3,Data!$QM$1,IF(O44=Data!$QK$4,Data!$QN$1,IF(O44=Data!$QK$5,Data!$QO$1,IF(O44=Data!$QK$6,Data!$QP$1,IF(O44=Data!$QK$7,Data!$QQ$1,IF(O44=Data!$QK$8,Data!$QR$1,IF(O44=Data!$QK$9,Data!$QS$1, IF(O44=Data!$QK$10,Data!$QV$1, IF(O44=Data!$QK$11,Data!$QW$1))))))))))</f>
        <v>0</v>
      </c>
      <c r="BH44" s="33" t="b">
        <f>IF(O44=Data!$QK$2,Data!$QL$17,IF(O44=Data!$QK$3,Data!$QM$17,IF(O44=Data!$QK$4,Data!$QN$17,IF(O44=Data!$QK$5,Data!$QO$17,IF(O44=Data!$QK$6,Data!$QP$17,IF(O44=Data!$QK$7,Data!$QQ$17,IF(O44=Data!$QK$8,Data!$QR$17,IF(O44=Data!$QK$9,Data!$QS$17,IF(O44=Data!$QK$10,Data!$QV$17,IF(O44=Data!$QK$11,Data!$QW$17))))))))))</f>
        <v>0</v>
      </c>
      <c r="BI44" s="33" t="e">
        <f>VLOOKUP(O44,Data!$PU$13:$PV$22,2,FALSE)</f>
        <v>#N/A</v>
      </c>
      <c r="BJ44" s="33" t="e">
        <f>MATCH('Roller Blinds'!D44,Data!$AAK$2:$AAK$15)</f>
        <v>#N/A</v>
      </c>
      <c r="BK44" s="33" t="e">
        <f>MATCH(L44,Data!$AAL$1:$AAM$1)</f>
        <v>#N/A</v>
      </c>
      <c r="BL44" s="33" t="e">
        <f>INDEX(Data!$AAL$2:$AAM$15,BJ44,BK44)</f>
        <v>#N/A</v>
      </c>
    </row>
    <row r="45" spans="1:64" ht="30" customHeight="1" thickTop="1" thickBot="1">
      <c r="A45" s="52">
        <v>38</v>
      </c>
      <c r="B45" s="13"/>
      <c r="C45" s="13"/>
      <c r="D45" s="19"/>
      <c r="E45" s="15"/>
      <c r="F45" s="10"/>
      <c r="G45" s="10"/>
      <c r="H45" s="14"/>
      <c r="I45" s="14"/>
      <c r="J45" s="525"/>
      <c r="K45" s="526"/>
      <c r="L45" s="15"/>
      <c r="M45" s="15"/>
      <c r="N45" s="15"/>
      <c r="O45" s="577"/>
      <c r="P45" s="578"/>
      <c r="Q45" s="13"/>
      <c r="R45" s="13"/>
      <c r="S45" s="13"/>
      <c r="T45" s="13"/>
      <c r="U45" s="13"/>
      <c r="V45" s="13"/>
      <c r="W45" s="13"/>
      <c r="X45" s="15"/>
      <c r="Y45" s="16"/>
      <c r="Z45" s="175"/>
      <c r="AA45" s="229"/>
      <c r="AB45" s="230"/>
      <c r="AC45" s="33" t="e">
        <f t="shared" si="0"/>
        <v>#N/A</v>
      </c>
      <c r="AD45" s="33" t="e">
        <f>VLOOKUP(S45,Data!$QH$2:$QI$4,2,FALSE)</f>
        <v>#N/A</v>
      </c>
      <c r="AF45" s="172" t="e">
        <f t="shared" si="1"/>
        <v>#N/A</v>
      </c>
      <c r="AI45" s="172" t="b">
        <f>IF(W45=Data!$KK$2,Data!$KM$1,IF(W45=Data!$KK$3,Data!$KN$1,IF(W45=Data!$KK$4,Data!$KP$1,IF(W45=Data!$KK$5,Data!$KQ$1))))</f>
        <v>0</v>
      </c>
      <c r="AJ45" s="33" t="str">
        <f>IF(D45=Data!$W$10,Data!$QJ$1,Data!$QK$1)</f>
        <v>RollerControl</v>
      </c>
      <c r="AM45" s="33" t="b">
        <f>IF(S45=Data!$PX$2,Data!$PZ$1,IF(S45=Data!$PX$3,Data!$PY$1,IF(S45=Data!$PX$4,Data!$QA$1)))</f>
        <v>0</v>
      </c>
      <c r="AO45" s="33" t="b">
        <f>IF(S45=Data!$PX$3,Data!$QB$1,IF(S45=Data!$PX$2,Data!$QC$1,IF(S45=Data!$PX$4,Data!$QD$1)))</f>
        <v>0</v>
      </c>
      <c r="AQ45" s="33" t="str">
        <f>IF(D45=Data!$W$3,Data!$QF$1,IF(D45=Data!$W$4,Data!$QF$1,IF(D45=Data!$W$5,Data!$QF$1,IF(D45=Data!$W$6,Data!$QF$1,IF(D45=Data!$W$7,Data!$QF$1,IF(D45=Data!$W$8,Data!$QF$1,IF(D45=Data!$W$9,Data!$QF$1,IF(D45=Data!$W$10,Data!$QE$1,IF(D45=Data!$W$11,Data!$QF$1,IF(D45=Data!$W$12,Data!$QF$1,IF(D45=Data!$W$13,Data!$QF$1,IF(D45=Data!$W$14,Data!$QF$1,IF(D45=Data!$W$15,Data!$QF$1,IF(D45=Data!$W$16,Data!$QF$1))))))))))))))</f>
        <v>RollerBracketType2</v>
      </c>
      <c r="BA45" s="40" t="str">
        <f>IF(AND(F45&lt;2130, OR(G45&lt;2100)),Data!$KS$1,Data!$KT$1)</f>
        <v>Small_Tube</v>
      </c>
      <c r="BB45" s="172" t="e">
        <f>MATCH(W45,Data!$LA$1:$LD$1,0)</f>
        <v>#N/A</v>
      </c>
      <c r="BC45" s="172">
        <f>MATCH('Roller Blinds'!BA45,Data!$KZ$2:$KZ$3,0)</f>
        <v>1</v>
      </c>
      <c r="BD45" s="172" t="e">
        <f>INDEX(Data!$LA$2:$LD$3,'Roller Blinds'!BC45,'Roller Blinds'!BB45)</f>
        <v>#N/A</v>
      </c>
      <c r="BG45" s="172" t="b">
        <f>IF(O45=Data!$QK$2,Data!$QL$1,IF(O45=Data!$QK$3,Data!$QM$1,IF(O45=Data!$QK$4,Data!$QN$1,IF(O45=Data!$QK$5,Data!$QO$1,IF(O45=Data!$QK$6,Data!$QP$1,IF(O45=Data!$QK$7,Data!$QQ$1,IF(O45=Data!$QK$8,Data!$QR$1,IF(O45=Data!$QK$9,Data!$QS$1, IF(O45=Data!$QK$10,Data!$QV$1, IF(O45=Data!$QK$11,Data!$QW$1))))))))))</f>
        <v>0</v>
      </c>
      <c r="BH45" s="33" t="b">
        <f>IF(O45=Data!$QK$2,Data!$QL$17,IF(O45=Data!$QK$3,Data!$QM$17,IF(O45=Data!$QK$4,Data!$QN$17,IF(O45=Data!$QK$5,Data!$QO$17,IF(O45=Data!$QK$6,Data!$QP$17,IF(O45=Data!$QK$7,Data!$QQ$17,IF(O45=Data!$QK$8,Data!$QR$17,IF(O45=Data!$QK$9,Data!$QS$17,IF(O45=Data!$QK$10,Data!$QV$17,IF(O45=Data!$QK$11,Data!$QW$17))))))))))</f>
        <v>0</v>
      </c>
      <c r="BI45" s="33" t="e">
        <f>VLOOKUP(O45,Data!$PU$13:$PV$22,2,FALSE)</f>
        <v>#N/A</v>
      </c>
      <c r="BJ45" s="33" t="e">
        <f>MATCH('Roller Blinds'!D45,Data!$AAK$2:$AAK$15)</f>
        <v>#N/A</v>
      </c>
      <c r="BK45" s="33" t="e">
        <f>MATCH(L45,Data!$AAL$1:$AAM$1)</f>
        <v>#N/A</v>
      </c>
      <c r="BL45" s="33" t="e">
        <f>INDEX(Data!$AAL$2:$AAM$15,BJ45,BK45)</f>
        <v>#N/A</v>
      </c>
    </row>
    <row r="46" spans="1:64" ht="30" customHeight="1" thickTop="1" thickBot="1">
      <c r="A46" s="52">
        <v>39</v>
      </c>
      <c r="B46" s="13"/>
      <c r="C46" s="13"/>
      <c r="D46" s="19"/>
      <c r="E46" s="15"/>
      <c r="F46" s="10"/>
      <c r="G46" s="10"/>
      <c r="H46" s="14"/>
      <c r="I46" s="14"/>
      <c r="J46" s="525"/>
      <c r="K46" s="526"/>
      <c r="L46" s="15"/>
      <c r="M46" s="15"/>
      <c r="N46" s="15"/>
      <c r="O46" s="577"/>
      <c r="P46" s="578"/>
      <c r="Q46" s="13"/>
      <c r="R46" s="13"/>
      <c r="S46" s="13"/>
      <c r="T46" s="13"/>
      <c r="U46" s="13"/>
      <c r="V46" s="13"/>
      <c r="W46" s="13"/>
      <c r="X46" s="15"/>
      <c r="Y46" s="16"/>
      <c r="Z46" s="175"/>
      <c r="AA46" s="229"/>
      <c r="AB46" s="230"/>
      <c r="AC46" s="33" t="e">
        <f t="shared" si="0"/>
        <v>#N/A</v>
      </c>
      <c r="AD46" s="33" t="e">
        <f>VLOOKUP(S46,Data!$QH$2:$QI$4,2,FALSE)</f>
        <v>#N/A</v>
      </c>
      <c r="AF46" s="172" t="e">
        <f t="shared" si="1"/>
        <v>#N/A</v>
      </c>
      <c r="AI46" s="172" t="b">
        <f>IF(W46=Data!$KK$2,Data!$KM$1,IF(W46=Data!$KK$3,Data!$KN$1,IF(W46=Data!$KK$4,Data!$KP$1,IF(W46=Data!$KK$5,Data!$KQ$1))))</f>
        <v>0</v>
      </c>
      <c r="AJ46" s="33" t="str">
        <f>IF(D46=Data!$W$10,Data!$QJ$1,Data!$QK$1)</f>
        <v>RollerControl</v>
      </c>
      <c r="AM46" s="33" t="b">
        <f>IF(S46=Data!$PX$2,Data!$PZ$1,IF(S46=Data!$PX$3,Data!$PY$1,IF(S46=Data!$PX$4,Data!$QA$1)))</f>
        <v>0</v>
      </c>
      <c r="AO46" s="33" t="b">
        <f>IF(S46=Data!$PX$3,Data!$QB$1,IF(S46=Data!$PX$2,Data!$QC$1,IF(S46=Data!$PX$4,Data!$QD$1)))</f>
        <v>0</v>
      </c>
      <c r="AQ46" s="33" t="str">
        <f>IF(D46=Data!$W$3,Data!$QF$1,IF(D46=Data!$W$4,Data!$QF$1,IF(D46=Data!$W$5,Data!$QF$1,IF(D46=Data!$W$6,Data!$QF$1,IF(D46=Data!$W$7,Data!$QF$1,IF(D46=Data!$W$8,Data!$QF$1,IF(D46=Data!$W$9,Data!$QF$1,IF(D46=Data!$W$10,Data!$QE$1,IF(D46=Data!$W$11,Data!$QF$1,IF(D46=Data!$W$12,Data!$QF$1,IF(D46=Data!$W$13,Data!$QF$1,IF(D46=Data!$W$14,Data!$QF$1,IF(D46=Data!$W$15,Data!$QF$1,IF(D46=Data!$W$16,Data!$QF$1))))))))))))))</f>
        <v>RollerBracketType2</v>
      </c>
      <c r="BA46" s="40" t="str">
        <f>IF(AND(F46&lt;2130, OR(G46&lt;2100)),Data!$KS$1,Data!$KT$1)</f>
        <v>Small_Tube</v>
      </c>
      <c r="BB46" s="172" t="e">
        <f>MATCH(W46,Data!$LA$1:$LD$1,0)</f>
        <v>#N/A</v>
      </c>
      <c r="BC46" s="172">
        <f>MATCH('Roller Blinds'!BA46,Data!$KZ$2:$KZ$3,0)</f>
        <v>1</v>
      </c>
      <c r="BD46" s="172" t="e">
        <f>INDEX(Data!$LA$2:$LD$3,'Roller Blinds'!BC46,'Roller Blinds'!BB46)</f>
        <v>#N/A</v>
      </c>
      <c r="BG46" s="172" t="b">
        <f>IF(O46=Data!$QK$2,Data!$QL$1,IF(O46=Data!$QK$3,Data!$QM$1,IF(O46=Data!$QK$4,Data!$QN$1,IF(O46=Data!$QK$5,Data!$QO$1,IF(O46=Data!$QK$6,Data!$QP$1,IF(O46=Data!$QK$7,Data!$QQ$1,IF(O46=Data!$QK$8,Data!$QR$1,IF(O46=Data!$QK$9,Data!$QS$1, IF(O46=Data!$QK$10,Data!$QV$1, IF(O46=Data!$QK$11,Data!$QW$1))))))))))</f>
        <v>0</v>
      </c>
      <c r="BH46" s="33" t="b">
        <f>IF(O46=Data!$QK$2,Data!$QL$17,IF(O46=Data!$QK$3,Data!$QM$17,IF(O46=Data!$QK$4,Data!$QN$17,IF(O46=Data!$QK$5,Data!$QO$17,IF(O46=Data!$QK$6,Data!$QP$17,IF(O46=Data!$QK$7,Data!$QQ$17,IF(O46=Data!$QK$8,Data!$QR$17,IF(O46=Data!$QK$9,Data!$QS$17,IF(O46=Data!$QK$10,Data!$QV$17,IF(O46=Data!$QK$11,Data!$QW$17))))))))))</f>
        <v>0</v>
      </c>
      <c r="BI46" s="33" t="e">
        <f>VLOOKUP(O46,Data!$PU$13:$PV$22,2,FALSE)</f>
        <v>#N/A</v>
      </c>
      <c r="BJ46" s="33" t="e">
        <f>MATCH('Roller Blinds'!D46,Data!$AAK$2:$AAK$15)</f>
        <v>#N/A</v>
      </c>
      <c r="BK46" s="33" t="e">
        <f>MATCH(L46,Data!$AAL$1:$AAM$1)</f>
        <v>#N/A</v>
      </c>
      <c r="BL46" s="33" t="e">
        <f>INDEX(Data!$AAL$2:$AAM$15,BJ46,BK46)</f>
        <v>#N/A</v>
      </c>
    </row>
    <row r="47" spans="1:64" ht="30" customHeight="1" thickTop="1" thickBot="1">
      <c r="A47" s="52">
        <v>40</v>
      </c>
      <c r="B47" s="13"/>
      <c r="C47" s="13"/>
      <c r="D47" s="19"/>
      <c r="E47" s="15"/>
      <c r="F47" s="10"/>
      <c r="G47" s="10"/>
      <c r="H47" s="14"/>
      <c r="I47" s="14"/>
      <c r="J47" s="525"/>
      <c r="K47" s="526"/>
      <c r="L47" s="15"/>
      <c r="M47" s="15"/>
      <c r="N47" s="15"/>
      <c r="O47" s="577"/>
      <c r="P47" s="578"/>
      <c r="Q47" s="13"/>
      <c r="R47" s="13"/>
      <c r="S47" s="13"/>
      <c r="T47" s="13"/>
      <c r="U47" s="13"/>
      <c r="V47" s="13"/>
      <c r="W47" s="13"/>
      <c r="X47" s="15"/>
      <c r="Y47" s="16"/>
      <c r="Z47" s="175"/>
      <c r="AA47" s="229"/>
      <c r="AB47" s="230"/>
      <c r="AC47" s="33" t="e">
        <f t="shared" si="0"/>
        <v>#N/A</v>
      </c>
      <c r="AD47" s="33" t="e">
        <f>VLOOKUP(S47,Data!$QH$2:$QI$4,2,FALSE)</f>
        <v>#N/A</v>
      </c>
      <c r="AF47" s="172" t="e">
        <f t="shared" si="1"/>
        <v>#N/A</v>
      </c>
      <c r="AI47" s="172" t="b">
        <f>IF(W47=Data!$KK$2,Data!$KM$1,IF(W47=Data!$KK$3,Data!$KN$1,IF(W47=Data!$KK$4,Data!$KP$1,IF(W47=Data!$KK$5,Data!$KQ$1))))</f>
        <v>0</v>
      </c>
      <c r="AJ47" s="33" t="str">
        <f>IF(D47=Data!$W$10,Data!$QJ$1,Data!$QK$1)</f>
        <v>RollerControl</v>
      </c>
      <c r="AM47" s="33" t="b">
        <f>IF(S47=Data!$PX$2,Data!$PZ$1,IF(S47=Data!$PX$3,Data!$PY$1,IF(S47=Data!$PX$4,Data!$QA$1)))</f>
        <v>0</v>
      </c>
      <c r="AO47" s="33" t="b">
        <f>IF(S47=Data!$PX$3,Data!$QB$1,IF(S47=Data!$PX$2,Data!$QC$1,IF(S47=Data!$PX$4,Data!$QD$1)))</f>
        <v>0</v>
      </c>
      <c r="AQ47" s="33" t="str">
        <f>IF(D47=Data!$W$3,Data!$QF$1,IF(D47=Data!$W$4,Data!$QF$1,IF(D47=Data!$W$5,Data!$QF$1,IF(D47=Data!$W$6,Data!$QF$1,IF(D47=Data!$W$7,Data!$QF$1,IF(D47=Data!$W$8,Data!$QF$1,IF(D47=Data!$W$9,Data!$QF$1,IF(D47=Data!$W$10,Data!$QE$1,IF(D47=Data!$W$11,Data!$QF$1,IF(D47=Data!$W$12,Data!$QF$1,IF(D47=Data!$W$13,Data!$QF$1,IF(D47=Data!$W$14,Data!$QF$1,IF(D47=Data!$W$15,Data!$QF$1,IF(D47=Data!$W$16,Data!$QF$1))))))))))))))</f>
        <v>RollerBracketType2</v>
      </c>
      <c r="BA47" s="40" t="str">
        <f>IF(AND(F47&lt;2130, OR(G47&lt;2100)),Data!$KS$1,Data!$KT$1)</f>
        <v>Small_Tube</v>
      </c>
      <c r="BB47" s="172" t="e">
        <f>MATCH(W47,Data!$LA$1:$LD$1,0)</f>
        <v>#N/A</v>
      </c>
      <c r="BC47" s="172">
        <f>MATCH('Roller Blinds'!BA47,Data!$KZ$2:$KZ$3,0)</f>
        <v>1</v>
      </c>
      <c r="BD47" s="172" t="e">
        <f>INDEX(Data!$LA$2:$LD$3,'Roller Blinds'!BC47,'Roller Blinds'!BB47)</f>
        <v>#N/A</v>
      </c>
      <c r="BG47" s="172" t="b">
        <f>IF(O47=Data!$QK$2,Data!$QL$1,IF(O47=Data!$QK$3,Data!$QM$1,IF(O47=Data!$QK$4,Data!$QN$1,IF(O47=Data!$QK$5,Data!$QO$1,IF(O47=Data!$QK$6,Data!$QP$1,IF(O47=Data!$QK$7,Data!$QQ$1,IF(O47=Data!$QK$8,Data!$QR$1,IF(O47=Data!$QK$9,Data!$QS$1, IF(O47=Data!$QK$10,Data!$QV$1, IF(O47=Data!$QK$11,Data!$QW$1))))))))))</f>
        <v>0</v>
      </c>
      <c r="BH47" s="33" t="b">
        <f>IF(O47=Data!$QK$2,Data!$QL$17,IF(O47=Data!$QK$3,Data!$QM$17,IF(O47=Data!$QK$4,Data!$QN$17,IF(O47=Data!$QK$5,Data!$QO$17,IF(O47=Data!$QK$6,Data!$QP$17,IF(O47=Data!$QK$7,Data!$QQ$17,IF(O47=Data!$QK$8,Data!$QR$17,IF(O47=Data!$QK$9,Data!$QS$17,IF(O47=Data!$QK$10,Data!$QV$17,IF(O47=Data!$QK$11,Data!$QW$17))))))))))</f>
        <v>0</v>
      </c>
      <c r="BI47" s="33" t="e">
        <f>VLOOKUP(O47,Data!$PU$13:$PV$22,2,FALSE)</f>
        <v>#N/A</v>
      </c>
      <c r="BJ47" s="33" t="e">
        <f>MATCH('Roller Blinds'!D47,Data!$AAK$2:$AAK$15)</f>
        <v>#N/A</v>
      </c>
      <c r="BK47" s="33" t="e">
        <f>MATCH(L47,Data!$AAL$1:$AAM$1)</f>
        <v>#N/A</v>
      </c>
      <c r="BL47" s="33" t="e">
        <f>INDEX(Data!$AAL$2:$AAM$15,BJ47,BK47)</f>
        <v>#N/A</v>
      </c>
    </row>
    <row r="48" spans="1:64" ht="30" customHeight="1" thickTop="1" thickBot="1">
      <c r="A48" s="52">
        <v>41</v>
      </c>
      <c r="B48" s="13"/>
      <c r="C48" s="13"/>
      <c r="D48" s="19"/>
      <c r="E48" s="15"/>
      <c r="F48" s="10"/>
      <c r="G48" s="10"/>
      <c r="H48" s="14"/>
      <c r="I48" s="14"/>
      <c r="J48" s="525"/>
      <c r="K48" s="526"/>
      <c r="L48" s="15"/>
      <c r="M48" s="15"/>
      <c r="N48" s="15"/>
      <c r="O48" s="577"/>
      <c r="P48" s="578"/>
      <c r="Q48" s="13"/>
      <c r="R48" s="13"/>
      <c r="S48" s="13"/>
      <c r="T48" s="13"/>
      <c r="U48" s="13"/>
      <c r="V48" s="13"/>
      <c r="W48" s="13"/>
      <c r="X48" s="15"/>
      <c r="Y48" s="16"/>
      <c r="Z48" s="175"/>
      <c r="AA48" s="229"/>
      <c r="AB48" s="230"/>
      <c r="AC48" s="33" t="e">
        <f t="shared" si="0"/>
        <v>#N/A</v>
      </c>
      <c r="AD48" s="33" t="e">
        <f>VLOOKUP(S48,Data!$QH$2:$QI$4,2,FALSE)</f>
        <v>#N/A</v>
      </c>
      <c r="AF48" s="172" t="e">
        <f t="shared" si="1"/>
        <v>#N/A</v>
      </c>
      <c r="AI48" s="172" t="b">
        <f>IF(W48=Data!$KK$2,Data!$KM$1,IF(W48=Data!$KK$3,Data!$KN$1,IF(W48=Data!$KK$4,Data!$KP$1,IF(W48=Data!$KK$5,Data!$KQ$1))))</f>
        <v>0</v>
      </c>
      <c r="AJ48" s="33" t="str">
        <f>IF(D48=Data!$W$10,Data!$QJ$1,Data!$QK$1)</f>
        <v>RollerControl</v>
      </c>
      <c r="AM48" s="33" t="b">
        <f>IF(S48=Data!$PX$2,Data!$PZ$1,IF(S48=Data!$PX$3,Data!$PY$1,IF(S48=Data!$PX$4,Data!$QA$1)))</f>
        <v>0</v>
      </c>
      <c r="AO48" s="33" t="b">
        <f>IF(S48=Data!$PX$3,Data!$QB$1,IF(S48=Data!$PX$2,Data!$QC$1,IF(S48=Data!$PX$4,Data!$QD$1)))</f>
        <v>0</v>
      </c>
      <c r="AQ48" s="33" t="str">
        <f>IF(D48=Data!$W$3,Data!$QF$1,IF(D48=Data!$W$4,Data!$QF$1,IF(D48=Data!$W$5,Data!$QF$1,IF(D48=Data!$W$6,Data!$QF$1,IF(D48=Data!$W$7,Data!$QF$1,IF(D48=Data!$W$8,Data!$QF$1,IF(D48=Data!$W$9,Data!$QF$1,IF(D48=Data!$W$10,Data!$QE$1,IF(D48=Data!$W$11,Data!$QF$1,IF(D48=Data!$W$12,Data!$QF$1,IF(D48=Data!$W$13,Data!$QF$1,IF(D48=Data!$W$14,Data!$QF$1,IF(D48=Data!$W$15,Data!$QF$1,IF(D48=Data!$W$16,Data!$QF$1))))))))))))))</f>
        <v>RollerBracketType2</v>
      </c>
      <c r="BA48" s="40" t="str">
        <f>IF(AND(F48&lt;2130, OR(G48&lt;2100)),Data!$KS$1,Data!$KT$1)</f>
        <v>Small_Tube</v>
      </c>
      <c r="BB48" s="172" t="e">
        <f>MATCH(W48,Data!$LA$1:$LD$1,0)</f>
        <v>#N/A</v>
      </c>
      <c r="BC48" s="172">
        <f>MATCH('Roller Blinds'!BA48,Data!$KZ$2:$KZ$3,0)</f>
        <v>1</v>
      </c>
      <c r="BD48" s="172" t="e">
        <f>INDEX(Data!$LA$2:$LD$3,'Roller Blinds'!BC48,'Roller Blinds'!BB48)</f>
        <v>#N/A</v>
      </c>
      <c r="BG48" s="172" t="b">
        <f>IF(O48=Data!$QK$2,Data!$QL$1,IF(O48=Data!$QK$3,Data!$QM$1,IF(O48=Data!$QK$4,Data!$QN$1,IF(O48=Data!$QK$5,Data!$QO$1,IF(O48=Data!$QK$6,Data!$QP$1,IF(O48=Data!$QK$7,Data!$QQ$1,IF(O48=Data!$QK$8,Data!$QR$1,IF(O48=Data!$QK$9,Data!$QS$1, IF(O48=Data!$QK$10,Data!$QV$1, IF(O48=Data!$QK$11,Data!$QW$1))))))))))</f>
        <v>0</v>
      </c>
      <c r="BH48" s="33" t="b">
        <f>IF(O48=Data!$QK$2,Data!$QL$17,IF(O48=Data!$QK$3,Data!$QM$17,IF(O48=Data!$QK$4,Data!$QN$17,IF(O48=Data!$QK$5,Data!$QO$17,IF(O48=Data!$QK$6,Data!$QP$17,IF(O48=Data!$QK$7,Data!$QQ$17,IF(O48=Data!$QK$8,Data!$QR$17,IF(O48=Data!$QK$9,Data!$QS$17,IF(O48=Data!$QK$10,Data!$QV$17,IF(O48=Data!$QK$11,Data!$QW$17))))))))))</f>
        <v>0</v>
      </c>
      <c r="BI48" s="33" t="e">
        <f>VLOOKUP(O48,Data!$PU$13:$PV$22,2,FALSE)</f>
        <v>#N/A</v>
      </c>
      <c r="BJ48" s="33" t="e">
        <f>MATCH('Roller Blinds'!D48,Data!$AAK$2:$AAK$15)</f>
        <v>#N/A</v>
      </c>
      <c r="BK48" s="33" t="e">
        <f>MATCH(L48,Data!$AAL$1:$AAM$1)</f>
        <v>#N/A</v>
      </c>
      <c r="BL48" s="33" t="e">
        <f>INDEX(Data!$AAL$2:$AAM$15,BJ48,BK48)</f>
        <v>#N/A</v>
      </c>
    </row>
    <row r="49" spans="1:64" ht="30" customHeight="1" thickTop="1" thickBot="1">
      <c r="A49" s="52">
        <v>42</v>
      </c>
      <c r="B49" s="13"/>
      <c r="C49" s="13"/>
      <c r="D49" s="19"/>
      <c r="E49" s="15"/>
      <c r="F49" s="10"/>
      <c r="G49" s="10"/>
      <c r="H49" s="14"/>
      <c r="I49" s="14"/>
      <c r="J49" s="525"/>
      <c r="K49" s="526"/>
      <c r="L49" s="15"/>
      <c r="M49" s="15"/>
      <c r="N49" s="15"/>
      <c r="O49" s="577"/>
      <c r="P49" s="578"/>
      <c r="Q49" s="13"/>
      <c r="R49" s="13"/>
      <c r="S49" s="13"/>
      <c r="T49" s="13"/>
      <c r="U49" s="13"/>
      <c r="V49" s="13"/>
      <c r="W49" s="13"/>
      <c r="X49" s="15"/>
      <c r="Y49" s="16"/>
      <c r="Z49" s="175"/>
      <c r="AA49" s="229"/>
      <c r="AB49" s="230"/>
      <c r="AC49" s="33" t="e">
        <f t="shared" si="0"/>
        <v>#N/A</v>
      </c>
      <c r="AD49" s="33" t="e">
        <f>VLOOKUP(S49,Data!$QH$2:$QI$4,2,FALSE)</f>
        <v>#N/A</v>
      </c>
      <c r="AF49" s="172" t="e">
        <f t="shared" si="1"/>
        <v>#N/A</v>
      </c>
      <c r="AI49" s="172" t="b">
        <f>IF(W49=Data!$KK$2,Data!$KM$1,IF(W49=Data!$KK$3,Data!$KN$1,IF(W49=Data!$KK$4,Data!$KP$1,IF(W49=Data!$KK$5,Data!$KQ$1))))</f>
        <v>0</v>
      </c>
      <c r="AJ49" s="33" t="str">
        <f>IF(D49=Data!$W$10,Data!$QJ$1,Data!$QK$1)</f>
        <v>RollerControl</v>
      </c>
      <c r="AM49" s="33" t="b">
        <f>IF(S49=Data!$PX$2,Data!$PZ$1,IF(S49=Data!$PX$3,Data!$PY$1,IF(S49=Data!$PX$4,Data!$QA$1)))</f>
        <v>0</v>
      </c>
      <c r="AO49" s="33" t="b">
        <f>IF(S49=Data!$PX$3,Data!$QB$1,IF(S49=Data!$PX$2,Data!$QC$1,IF(S49=Data!$PX$4,Data!$QD$1)))</f>
        <v>0</v>
      </c>
      <c r="AQ49" s="33" t="str">
        <f>IF(D49=Data!$W$3,Data!$QF$1,IF(D49=Data!$W$4,Data!$QF$1,IF(D49=Data!$W$5,Data!$QF$1,IF(D49=Data!$W$6,Data!$QF$1,IF(D49=Data!$W$7,Data!$QF$1,IF(D49=Data!$W$8,Data!$QF$1,IF(D49=Data!$W$9,Data!$QF$1,IF(D49=Data!$W$10,Data!$QE$1,IF(D49=Data!$W$11,Data!$QF$1,IF(D49=Data!$W$12,Data!$QF$1,IF(D49=Data!$W$13,Data!$QF$1,IF(D49=Data!$W$14,Data!$QF$1,IF(D49=Data!$W$15,Data!$QF$1,IF(D49=Data!$W$16,Data!$QF$1))))))))))))))</f>
        <v>RollerBracketType2</v>
      </c>
      <c r="BA49" s="40" t="str">
        <f>IF(AND(F49&lt;2130, OR(G49&lt;2100)),Data!$KS$1,Data!$KT$1)</f>
        <v>Small_Tube</v>
      </c>
      <c r="BB49" s="172" t="e">
        <f>MATCH(W49,Data!$LA$1:$LD$1,0)</f>
        <v>#N/A</v>
      </c>
      <c r="BC49" s="172">
        <f>MATCH('Roller Blinds'!BA49,Data!$KZ$2:$KZ$3,0)</f>
        <v>1</v>
      </c>
      <c r="BD49" s="172" t="e">
        <f>INDEX(Data!$LA$2:$LD$3,'Roller Blinds'!BC49,'Roller Blinds'!BB49)</f>
        <v>#N/A</v>
      </c>
      <c r="BG49" s="172" t="b">
        <f>IF(O49=Data!$QK$2,Data!$QL$1,IF(O49=Data!$QK$3,Data!$QM$1,IF(O49=Data!$QK$4,Data!$QN$1,IF(O49=Data!$QK$5,Data!$QO$1,IF(O49=Data!$QK$6,Data!$QP$1,IF(O49=Data!$QK$7,Data!$QQ$1,IF(O49=Data!$QK$8,Data!$QR$1,IF(O49=Data!$QK$9,Data!$QS$1, IF(O49=Data!$QK$10,Data!$QV$1, IF(O49=Data!$QK$11,Data!$QW$1))))))))))</f>
        <v>0</v>
      </c>
      <c r="BH49" s="33" t="b">
        <f>IF(O49=Data!$QK$2,Data!$QL$17,IF(O49=Data!$QK$3,Data!$QM$17,IF(O49=Data!$QK$4,Data!$QN$17,IF(O49=Data!$QK$5,Data!$QO$17,IF(O49=Data!$QK$6,Data!$QP$17,IF(O49=Data!$QK$7,Data!$QQ$17,IF(O49=Data!$QK$8,Data!$QR$17,IF(O49=Data!$QK$9,Data!$QS$17,IF(O49=Data!$QK$10,Data!$QV$17,IF(O49=Data!$QK$11,Data!$QW$17))))))))))</f>
        <v>0</v>
      </c>
      <c r="BI49" s="33" t="e">
        <f>VLOOKUP(O49,Data!$PU$13:$PV$22,2,FALSE)</f>
        <v>#N/A</v>
      </c>
      <c r="BJ49" s="33" t="e">
        <f>MATCH('Roller Blinds'!D49,Data!$AAK$2:$AAK$15)</f>
        <v>#N/A</v>
      </c>
      <c r="BK49" s="33" t="e">
        <f>MATCH(L49,Data!$AAL$1:$AAM$1)</f>
        <v>#N/A</v>
      </c>
      <c r="BL49" s="33" t="e">
        <f>INDEX(Data!$AAL$2:$AAM$15,BJ49,BK49)</f>
        <v>#N/A</v>
      </c>
    </row>
    <row r="50" spans="1:64" ht="30" customHeight="1" thickTop="1" thickBot="1">
      <c r="A50" s="52">
        <v>43</v>
      </c>
      <c r="B50" s="13"/>
      <c r="C50" s="13"/>
      <c r="D50" s="19"/>
      <c r="E50" s="15"/>
      <c r="F50" s="10"/>
      <c r="G50" s="10"/>
      <c r="H50" s="14"/>
      <c r="I50" s="14"/>
      <c r="J50" s="525"/>
      <c r="K50" s="526"/>
      <c r="L50" s="15"/>
      <c r="M50" s="15"/>
      <c r="N50" s="15"/>
      <c r="O50" s="577"/>
      <c r="P50" s="578"/>
      <c r="Q50" s="13"/>
      <c r="R50" s="13"/>
      <c r="S50" s="13"/>
      <c r="T50" s="13"/>
      <c r="U50" s="13"/>
      <c r="V50" s="13"/>
      <c r="W50" s="13"/>
      <c r="X50" s="15"/>
      <c r="Y50" s="16"/>
      <c r="Z50" s="175"/>
      <c r="AA50" s="229"/>
      <c r="AB50" s="230"/>
      <c r="AC50" s="33" t="e">
        <f t="shared" si="0"/>
        <v>#N/A</v>
      </c>
      <c r="AD50" s="33" t="e">
        <f>VLOOKUP(S50,Data!$QH$2:$QI$4,2,FALSE)</f>
        <v>#N/A</v>
      </c>
      <c r="AF50" s="172" t="e">
        <f t="shared" si="1"/>
        <v>#N/A</v>
      </c>
      <c r="AI50" s="172" t="b">
        <f>IF(W50=Data!$KK$2,Data!$KM$1,IF(W50=Data!$KK$3,Data!$KN$1,IF(W50=Data!$KK$4,Data!$KP$1,IF(W50=Data!$KK$5,Data!$KQ$1))))</f>
        <v>0</v>
      </c>
      <c r="AJ50" s="33" t="str">
        <f>IF(D50=Data!$W$10,Data!$QJ$1,Data!$QK$1)</f>
        <v>RollerControl</v>
      </c>
      <c r="AM50" s="33" t="b">
        <f>IF(S50=Data!$PX$2,Data!$PZ$1,IF(S50=Data!$PX$3,Data!$PY$1,IF(S50=Data!$PX$4,Data!$QA$1)))</f>
        <v>0</v>
      </c>
      <c r="AO50" s="33" t="b">
        <f>IF(S50=Data!$PX$3,Data!$QB$1,IF(S50=Data!$PX$2,Data!$QC$1,IF(S50=Data!$PX$4,Data!$QD$1)))</f>
        <v>0</v>
      </c>
      <c r="AQ50" s="33" t="str">
        <f>IF(D50=Data!$W$3,Data!$QF$1,IF(D50=Data!$W$4,Data!$QF$1,IF(D50=Data!$W$5,Data!$QF$1,IF(D50=Data!$W$6,Data!$QF$1,IF(D50=Data!$W$7,Data!$QF$1,IF(D50=Data!$W$8,Data!$QF$1,IF(D50=Data!$W$9,Data!$QF$1,IF(D50=Data!$W$10,Data!$QE$1,IF(D50=Data!$W$11,Data!$QF$1,IF(D50=Data!$W$12,Data!$QF$1,IF(D50=Data!$W$13,Data!$QF$1,IF(D50=Data!$W$14,Data!$QF$1,IF(D50=Data!$W$15,Data!$QF$1,IF(D50=Data!$W$16,Data!$QF$1))))))))))))))</f>
        <v>RollerBracketType2</v>
      </c>
      <c r="BA50" s="40" t="str">
        <f>IF(AND(F50&lt;2130, OR(G50&lt;2100)),Data!$KS$1,Data!$KT$1)</f>
        <v>Small_Tube</v>
      </c>
      <c r="BB50" s="172" t="e">
        <f>MATCH(W50,Data!$LA$1:$LD$1,0)</f>
        <v>#N/A</v>
      </c>
      <c r="BC50" s="172">
        <f>MATCH('Roller Blinds'!BA50,Data!$KZ$2:$KZ$3,0)</f>
        <v>1</v>
      </c>
      <c r="BD50" s="172" t="e">
        <f>INDEX(Data!$LA$2:$LD$3,'Roller Blinds'!BC50,'Roller Blinds'!BB50)</f>
        <v>#N/A</v>
      </c>
      <c r="BG50" s="172" t="b">
        <f>IF(O50=Data!$QK$2,Data!$QL$1,IF(O50=Data!$QK$3,Data!$QM$1,IF(O50=Data!$QK$4,Data!$QN$1,IF(O50=Data!$QK$5,Data!$QO$1,IF(O50=Data!$QK$6,Data!$QP$1,IF(O50=Data!$QK$7,Data!$QQ$1,IF(O50=Data!$QK$8,Data!$QR$1,IF(O50=Data!$QK$9,Data!$QS$1, IF(O50=Data!$QK$10,Data!$QV$1, IF(O50=Data!$QK$11,Data!$QW$1))))))))))</f>
        <v>0</v>
      </c>
      <c r="BH50" s="33" t="b">
        <f>IF(O50=Data!$QK$2,Data!$QL$17,IF(O50=Data!$QK$3,Data!$QM$17,IF(O50=Data!$QK$4,Data!$QN$17,IF(O50=Data!$QK$5,Data!$QO$17,IF(O50=Data!$QK$6,Data!$QP$17,IF(O50=Data!$QK$7,Data!$QQ$17,IF(O50=Data!$QK$8,Data!$QR$17,IF(O50=Data!$QK$9,Data!$QS$17,IF(O50=Data!$QK$10,Data!$QV$17,IF(O50=Data!$QK$11,Data!$QW$17))))))))))</f>
        <v>0</v>
      </c>
      <c r="BI50" s="33" t="e">
        <f>VLOOKUP(O50,Data!$PU$13:$PV$22,2,FALSE)</f>
        <v>#N/A</v>
      </c>
      <c r="BJ50" s="33" t="e">
        <f>MATCH('Roller Blinds'!D50,Data!$AAK$2:$AAK$15)</f>
        <v>#N/A</v>
      </c>
      <c r="BK50" s="33" t="e">
        <f>MATCH(L50,Data!$AAL$1:$AAM$1)</f>
        <v>#N/A</v>
      </c>
      <c r="BL50" s="33" t="e">
        <f>INDEX(Data!$AAL$2:$AAM$15,BJ50,BK50)</f>
        <v>#N/A</v>
      </c>
    </row>
    <row r="51" spans="1:64" ht="30" customHeight="1" thickTop="1" thickBot="1">
      <c r="A51" s="52">
        <v>44</v>
      </c>
      <c r="B51" s="13"/>
      <c r="C51" s="13"/>
      <c r="D51" s="19"/>
      <c r="E51" s="15"/>
      <c r="F51" s="10"/>
      <c r="G51" s="10"/>
      <c r="H51" s="14"/>
      <c r="I51" s="14"/>
      <c r="J51" s="525"/>
      <c r="K51" s="526"/>
      <c r="L51" s="15"/>
      <c r="M51" s="15"/>
      <c r="N51" s="15"/>
      <c r="O51" s="577"/>
      <c r="P51" s="578"/>
      <c r="Q51" s="13"/>
      <c r="R51" s="13"/>
      <c r="S51" s="13"/>
      <c r="T51" s="13"/>
      <c r="U51" s="13"/>
      <c r="V51" s="13"/>
      <c r="W51" s="13"/>
      <c r="X51" s="15"/>
      <c r="Y51" s="16"/>
      <c r="Z51" s="175"/>
      <c r="AA51" s="229"/>
      <c r="AB51" s="230"/>
      <c r="AC51" s="33" t="e">
        <f t="shared" si="0"/>
        <v>#N/A</v>
      </c>
      <c r="AD51" s="33" t="e">
        <f>VLOOKUP(S51,Data!$QH$2:$QI$4,2,FALSE)</f>
        <v>#N/A</v>
      </c>
      <c r="AF51" s="172" t="e">
        <f t="shared" si="1"/>
        <v>#N/A</v>
      </c>
      <c r="AI51" s="172" t="b">
        <f>IF(W51=Data!$KK$2,Data!$KM$1,IF(W51=Data!$KK$3,Data!$KN$1,IF(W51=Data!$KK$4,Data!$KP$1,IF(W51=Data!$KK$5,Data!$KQ$1))))</f>
        <v>0</v>
      </c>
      <c r="AJ51" s="33" t="str">
        <f>IF(D51=Data!$W$10,Data!$QJ$1,Data!$QK$1)</f>
        <v>RollerControl</v>
      </c>
      <c r="AM51" s="33" t="b">
        <f>IF(S51=Data!$PX$2,Data!$PZ$1,IF(S51=Data!$PX$3,Data!$PY$1,IF(S51=Data!$PX$4,Data!$QA$1)))</f>
        <v>0</v>
      </c>
      <c r="AO51" s="33" t="b">
        <f>IF(S51=Data!$PX$3,Data!$QB$1,IF(S51=Data!$PX$2,Data!$QC$1,IF(S51=Data!$PX$4,Data!$QD$1)))</f>
        <v>0</v>
      </c>
      <c r="AQ51" s="33" t="str">
        <f>IF(D51=Data!$W$3,Data!$QF$1,IF(D51=Data!$W$4,Data!$QF$1,IF(D51=Data!$W$5,Data!$QF$1,IF(D51=Data!$W$6,Data!$QF$1,IF(D51=Data!$W$7,Data!$QF$1,IF(D51=Data!$W$8,Data!$QF$1,IF(D51=Data!$W$9,Data!$QF$1,IF(D51=Data!$W$10,Data!$QE$1,IF(D51=Data!$W$11,Data!$QF$1,IF(D51=Data!$W$12,Data!$QF$1,IF(D51=Data!$W$13,Data!$QF$1,IF(D51=Data!$W$14,Data!$QF$1,IF(D51=Data!$W$15,Data!$QF$1,IF(D51=Data!$W$16,Data!$QF$1))))))))))))))</f>
        <v>RollerBracketType2</v>
      </c>
      <c r="BA51" s="40" t="str">
        <f>IF(AND(F51&lt;2130, OR(G51&lt;2100)),Data!$KS$1,Data!$KT$1)</f>
        <v>Small_Tube</v>
      </c>
      <c r="BB51" s="172" t="e">
        <f>MATCH(W51,Data!$LA$1:$LD$1,0)</f>
        <v>#N/A</v>
      </c>
      <c r="BC51" s="172">
        <f>MATCH('Roller Blinds'!BA51,Data!$KZ$2:$KZ$3,0)</f>
        <v>1</v>
      </c>
      <c r="BD51" s="172" t="e">
        <f>INDEX(Data!$LA$2:$LD$3,'Roller Blinds'!BC51,'Roller Blinds'!BB51)</f>
        <v>#N/A</v>
      </c>
      <c r="BG51" s="172" t="b">
        <f>IF(O51=Data!$QK$2,Data!$QL$1,IF(O51=Data!$QK$3,Data!$QM$1,IF(O51=Data!$QK$4,Data!$QN$1,IF(O51=Data!$QK$5,Data!$QO$1,IF(O51=Data!$QK$6,Data!$QP$1,IF(O51=Data!$QK$7,Data!$QQ$1,IF(O51=Data!$QK$8,Data!$QR$1,IF(O51=Data!$QK$9,Data!$QS$1, IF(O51=Data!$QK$10,Data!$QV$1, IF(O51=Data!$QK$11,Data!$QW$1))))))))))</f>
        <v>0</v>
      </c>
      <c r="BH51" s="33" t="b">
        <f>IF(O51=Data!$QK$2,Data!$QL$17,IF(O51=Data!$QK$3,Data!$QM$17,IF(O51=Data!$QK$4,Data!$QN$17,IF(O51=Data!$QK$5,Data!$QO$17,IF(O51=Data!$QK$6,Data!$QP$17,IF(O51=Data!$QK$7,Data!$QQ$17,IF(O51=Data!$QK$8,Data!$QR$17,IF(O51=Data!$QK$9,Data!$QS$17,IF(O51=Data!$QK$10,Data!$QV$17,IF(O51=Data!$QK$11,Data!$QW$17))))))))))</f>
        <v>0</v>
      </c>
      <c r="BI51" s="33" t="e">
        <f>VLOOKUP(O51,Data!$PU$13:$PV$22,2,FALSE)</f>
        <v>#N/A</v>
      </c>
      <c r="BJ51" s="33" t="e">
        <f>MATCH('Roller Blinds'!D51,Data!$AAK$2:$AAK$15)</f>
        <v>#N/A</v>
      </c>
      <c r="BK51" s="33" t="e">
        <f>MATCH(L51,Data!$AAL$1:$AAM$1)</f>
        <v>#N/A</v>
      </c>
      <c r="BL51" s="33" t="e">
        <f>INDEX(Data!$AAL$2:$AAM$15,BJ51,BK51)</f>
        <v>#N/A</v>
      </c>
    </row>
    <row r="52" spans="1:64" ht="30" customHeight="1" thickTop="1" thickBot="1">
      <c r="A52" s="52">
        <v>45</v>
      </c>
      <c r="B52" s="13"/>
      <c r="C52" s="13"/>
      <c r="D52" s="19"/>
      <c r="E52" s="15"/>
      <c r="F52" s="10"/>
      <c r="G52" s="10"/>
      <c r="H52" s="14"/>
      <c r="I52" s="14"/>
      <c r="J52" s="525"/>
      <c r="K52" s="526"/>
      <c r="L52" s="15"/>
      <c r="M52" s="15"/>
      <c r="N52" s="15"/>
      <c r="O52" s="577"/>
      <c r="P52" s="578"/>
      <c r="Q52" s="13"/>
      <c r="R52" s="13"/>
      <c r="S52" s="13"/>
      <c r="T52" s="13"/>
      <c r="U52" s="13"/>
      <c r="V52" s="13"/>
      <c r="W52" s="13"/>
      <c r="X52" s="15"/>
      <c r="Y52" s="16"/>
      <c r="Z52" s="175"/>
      <c r="AA52" s="229"/>
      <c r="AB52" s="230"/>
      <c r="AC52" s="33" t="e">
        <f t="shared" si="0"/>
        <v>#N/A</v>
      </c>
      <c r="AD52" s="33" t="e">
        <f>VLOOKUP(S52,Data!$QH$2:$QI$4,2,FALSE)</f>
        <v>#N/A</v>
      </c>
      <c r="AF52" s="172" t="e">
        <f t="shared" si="1"/>
        <v>#N/A</v>
      </c>
      <c r="AI52" s="172" t="b">
        <f>IF(W52=Data!$KK$2,Data!$KM$1,IF(W52=Data!$KK$3,Data!$KN$1,IF(W52=Data!$KK$4,Data!$KP$1,IF(W52=Data!$KK$5,Data!$KQ$1))))</f>
        <v>0</v>
      </c>
      <c r="AJ52" s="33" t="str">
        <f>IF(D52=Data!$W$10,Data!$QJ$1,Data!$QK$1)</f>
        <v>RollerControl</v>
      </c>
      <c r="AM52" s="33" t="b">
        <f>IF(S52=Data!$PX$2,Data!$PZ$1,IF(S52=Data!$PX$3,Data!$PY$1,IF(S52=Data!$PX$4,Data!$QA$1)))</f>
        <v>0</v>
      </c>
      <c r="AO52" s="33" t="b">
        <f>IF(S52=Data!$PX$3,Data!$QB$1,IF(S52=Data!$PX$2,Data!$QC$1,IF(S52=Data!$PX$4,Data!$QD$1)))</f>
        <v>0</v>
      </c>
      <c r="AQ52" s="33" t="str">
        <f>IF(D52=Data!$W$3,Data!$QF$1,IF(D52=Data!$W$4,Data!$QF$1,IF(D52=Data!$W$5,Data!$QF$1,IF(D52=Data!$W$6,Data!$QF$1,IF(D52=Data!$W$7,Data!$QF$1,IF(D52=Data!$W$8,Data!$QF$1,IF(D52=Data!$W$9,Data!$QF$1,IF(D52=Data!$W$10,Data!$QE$1,IF(D52=Data!$W$11,Data!$QF$1,IF(D52=Data!$W$12,Data!$QF$1,IF(D52=Data!$W$13,Data!$QF$1,IF(D52=Data!$W$14,Data!$QF$1,IF(D52=Data!$W$15,Data!$QF$1,IF(D52=Data!$W$16,Data!$QF$1))))))))))))))</f>
        <v>RollerBracketType2</v>
      </c>
      <c r="BA52" s="40" t="str">
        <f>IF(AND(F52&lt;2130, OR(G52&lt;2100)),Data!$KS$1,Data!$KT$1)</f>
        <v>Small_Tube</v>
      </c>
      <c r="BB52" s="172" t="e">
        <f>MATCH(W52,Data!$LA$1:$LD$1,0)</f>
        <v>#N/A</v>
      </c>
      <c r="BC52" s="172">
        <f>MATCH('Roller Blinds'!BA52,Data!$KZ$2:$KZ$3,0)</f>
        <v>1</v>
      </c>
      <c r="BD52" s="172" t="e">
        <f>INDEX(Data!$LA$2:$LD$3,'Roller Blinds'!BC52,'Roller Blinds'!BB52)</f>
        <v>#N/A</v>
      </c>
      <c r="BG52" s="172" t="b">
        <f>IF(O52=Data!$QK$2,Data!$QL$1,IF(O52=Data!$QK$3,Data!$QM$1,IF(O52=Data!$QK$4,Data!$QN$1,IF(O52=Data!$QK$5,Data!$QO$1,IF(O52=Data!$QK$6,Data!$QP$1,IF(O52=Data!$QK$7,Data!$QQ$1,IF(O52=Data!$QK$8,Data!$QR$1,IF(O52=Data!$QK$9,Data!$QS$1, IF(O52=Data!$QK$10,Data!$QV$1, IF(O52=Data!$QK$11,Data!$QW$1))))))))))</f>
        <v>0</v>
      </c>
      <c r="BH52" s="33" t="b">
        <f>IF(O52=Data!$QK$2,Data!$QL$17,IF(O52=Data!$QK$3,Data!$QM$17,IF(O52=Data!$QK$4,Data!$QN$17,IF(O52=Data!$QK$5,Data!$QO$17,IF(O52=Data!$QK$6,Data!$QP$17,IF(O52=Data!$QK$7,Data!$QQ$17,IF(O52=Data!$QK$8,Data!$QR$17,IF(O52=Data!$QK$9,Data!$QS$17,IF(O52=Data!$QK$10,Data!$QV$17,IF(O52=Data!$QK$11,Data!$QW$17))))))))))</f>
        <v>0</v>
      </c>
      <c r="BI52" s="33" t="e">
        <f>VLOOKUP(O52,Data!$PU$13:$PV$22,2,FALSE)</f>
        <v>#N/A</v>
      </c>
      <c r="BJ52" s="33" t="e">
        <f>MATCH('Roller Blinds'!D52,Data!$AAK$2:$AAK$15)</f>
        <v>#N/A</v>
      </c>
      <c r="BK52" s="33" t="e">
        <f>MATCH(L52,Data!$AAL$1:$AAM$1)</f>
        <v>#N/A</v>
      </c>
      <c r="BL52" s="33" t="e">
        <f>INDEX(Data!$AAL$2:$AAM$15,BJ52,BK52)</f>
        <v>#N/A</v>
      </c>
    </row>
    <row r="53" spans="1:64" ht="30" customHeight="1" thickTop="1" thickBot="1">
      <c r="A53" s="52">
        <v>46</v>
      </c>
      <c r="B53" s="13"/>
      <c r="C53" s="13"/>
      <c r="D53" s="19"/>
      <c r="E53" s="15"/>
      <c r="F53" s="10"/>
      <c r="G53" s="10"/>
      <c r="H53" s="14"/>
      <c r="I53" s="14"/>
      <c r="J53" s="525"/>
      <c r="K53" s="526"/>
      <c r="L53" s="15"/>
      <c r="M53" s="15"/>
      <c r="N53" s="15"/>
      <c r="O53" s="577"/>
      <c r="P53" s="578"/>
      <c r="Q53" s="13"/>
      <c r="R53" s="13"/>
      <c r="S53" s="13"/>
      <c r="T53" s="13"/>
      <c r="U53" s="13"/>
      <c r="V53" s="13"/>
      <c r="W53" s="13"/>
      <c r="X53" s="15"/>
      <c r="Y53" s="16"/>
      <c r="Z53" s="175"/>
      <c r="AA53" s="229"/>
      <c r="AB53" s="230"/>
      <c r="AC53" s="33" t="e">
        <f t="shared" si="0"/>
        <v>#N/A</v>
      </c>
      <c r="AD53" s="33" t="e">
        <f>VLOOKUP(S53,Data!$QH$2:$QI$4,2,FALSE)</f>
        <v>#N/A</v>
      </c>
      <c r="AF53" s="172" t="e">
        <f t="shared" si="1"/>
        <v>#N/A</v>
      </c>
      <c r="AI53" s="172" t="b">
        <f>IF(W53=Data!$KK$2,Data!$KM$1,IF(W53=Data!$KK$3,Data!$KN$1,IF(W53=Data!$KK$4,Data!$KP$1,IF(W53=Data!$KK$5,Data!$KQ$1))))</f>
        <v>0</v>
      </c>
      <c r="AJ53" s="33" t="str">
        <f>IF(D53=Data!$W$10,Data!$QJ$1,Data!$QK$1)</f>
        <v>RollerControl</v>
      </c>
      <c r="AM53" s="33" t="b">
        <f>IF(S53=Data!$PX$2,Data!$PZ$1,IF(S53=Data!$PX$3,Data!$PY$1,IF(S53=Data!$PX$4,Data!$QA$1)))</f>
        <v>0</v>
      </c>
      <c r="AO53" s="33" t="b">
        <f>IF(S53=Data!$PX$3,Data!$QB$1,IF(S53=Data!$PX$2,Data!$QC$1,IF(S53=Data!$PX$4,Data!$QD$1)))</f>
        <v>0</v>
      </c>
      <c r="AQ53" s="33" t="str">
        <f>IF(D53=Data!$W$3,Data!$QF$1,IF(D53=Data!$W$4,Data!$QF$1,IF(D53=Data!$W$5,Data!$QF$1,IF(D53=Data!$W$6,Data!$QF$1,IF(D53=Data!$W$7,Data!$QF$1,IF(D53=Data!$W$8,Data!$QF$1,IF(D53=Data!$W$9,Data!$QF$1,IF(D53=Data!$W$10,Data!$QE$1,IF(D53=Data!$W$11,Data!$QF$1,IF(D53=Data!$W$12,Data!$QF$1,IF(D53=Data!$W$13,Data!$QF$1,IF(D53=Data!$W$14,Data!$QF$1,IF(D53=Data!$W$15,Data!$QF$1,IF(D53=Data!$W$16,Data!$QF$1))))))))))))))</f>
        <v>RollerBracketType2</v>
      </c>
      <c r="BA53" s="40" t="str">
        <f>IF(AND(F53&lt;2130, OR(G53&lt;2100)),Data!$KS$1,Data!$KT$1)</f>
        <v>Small_Tube</v>
      </c>
      <c r="BB53" s="172" t="e">
        <f>MATCH(W53,Data!$LA$1:$LD$1,0)</f>
        <v>#N/A</v>
      </c>
      <c r="BC53" s="172">
        <f>MATCH('Roller Blinds'!BA53,Data!$KZ$2:$KZ$3,0)</f>
        <v>1</v>
      </c>
      <c r="BD53" s="172" t="e">
        <f>INDEX(Data!$LA$2:$LD$3,'Roller Blinds'!BC53,'Roller Blinds'!BB53)</f>
        <v>#N/A</v>
      </c>
      <c r="BG53" s="172" t="b">
        <f>IF(O53=Data!$QK$2,Data!$QL$1,IF(O53=Data!$QK$3,Data!$QM$1,IF(O53=Data!$QK$4,Data!$QN$1,IF(O53=Data!$QK$5,Data!$QO$1,IF(O53=Data!$QK$6,Data!$QP$1,IF(O53=Data!$QK$7,Data!$QQ$1,IF(O53=Data!$QK$8,Data!$QR$1,IF(O53=Data!$QK$9,Data!$QS$1, IF(O53=Data!$QK$10,Data!$QV$1, IF(O53=Data!$QK$11,Data!$QW$1))))))))))</f>
        <v>0</v>
      </c>
      <c r="BH53" s="33" t="b">
        <f>IF(O53=Data!$QK$2,Data!$QL$17,IF(O53=Data!$QK$3,Data!$QM$17,IF(O53=Data!$QK$4,Data!$QN$17,IF(O53=Data!$QK$5,Data!$QO$17,IF(O53=Data!$QK$6,Data!$QP$17,IF(O53=Data!$QK$7,Data!$QQ$17,IF(O53=Data!$QK$8,Data!$QR$17,IF(O53=Data!$QK$9,Data!$QS$17,IF(O53=Data!$QK$10,Data!$QV$17,IF(O53=Data!$QK$11,Data!$QW$17))))))))))</f>
        <v>0</v>
      </c>
      <c r="BI53" s="33" t="e">
        <f>VLOOKUP(O53,Data!$PU$13:$PV$22,2,FALSE)</f>
        <v>#N/A</v>
      </c>
      <c r="BJ53" s="33" t="e">
        <f>MATCH('Roller Blinds'!D53,Data!$AAK$2:$AAK$15)</f>
        <v>#N/A</v>
      </c>
      <c r="BK53" s="33" t="e">
        <f>MATCH(L53,Data!$AAL$1:$AAM$1)</f>
        <v>#N/A</v>
      </c>
      <c r="BL53" s="33" t="e">
        <f>INDEX(Data!$AAL$2:$AAM$15,BJ53,BK53)</f>
        <v>#N/A</v>
      </c>
    </row>
    <row r="54" spans="1:64" ht="30" customHeight="1" thickTop="1" thickBot="1">
      <c r="A54" s="52">
        <v>47</v>
      </c>
      <c r="B54" s="13"/>
      <c r="C54" s="13"/>
      <c r="D54" s="19"/>
      <c r="E54" s="15"/>
      <c r="F54" s="10"/>
      <c r="G54" s="10"/>
      <c r="H54" s="14"/>
      <c r="I54" s="14"/>
      <c r="J54" s="525"/>
      <c r="K54" s="526"/>
      <c r="L54" s="15"/>
      <c r="M54" s="15"/>
      <c r="N54" s="15"/>
      <c r="O54" s="577"/>
      <c r="P54" s="578"/>
      <c r="Q54" s="13"/>
      <c r="R54" s="13"/>
      <c r="S54" s="13"/>
      <c r="T54" s="13"/>
      <c r="U54" s="13"/>
      <c r="V54" s="13"/>
      <c r="W54" s="13"/>
      <c r="X54" s="15"/>
      <c r="Y54" s="16"/>
      <c r="Z54" s="175"/>
      <c r="AA54" s="229"/>
      <c r="AB54" s="230"/>
      <c r="AC54" s="33" t="e">
        <f t="shared" si="0"/>
        <v>#N/A</v>
      </c>
      <c r="AD54" s="33" t="e">
        <f>VLOOKUP(S54,Data!$QH$2:$QI$4,2,FALSE)</f>
        <v>#N/A</v>
      </c>
      <c r="AF54" s="172" t="e">
        <f t="shared" si="1"/>
        <v>#N/A</v>
      </c>
      <c r="AI54" s="172" t="b">
        <f>IF(W54=Data!$KK$2,Data!$KM$1,IF(W54=Data!$KK$3,Data!$KN$1,IF(W54=Data!$KK$4,Data!$KP$1,IF(W54=Data!$KK$5,Data!$KQ$1))))</f>
        <v>0</v>
      </c>
      <c r="AJ54" s="33" t="str">
        <f>IF(D54=Data!$W$10,Data!$QJ$1,Data!$QK$1)</f>
        <v>RollerControl</v>
      </c>
      <c r="AM54" s="33" t="b">
        <f>IF(S54=Data!$PX$2,Data!$PZ$1,IF(S54=Data!$PX$3,Data!$PY$1,IF(S54=Data!$PX$4,Data!$QA$1)))</f>
        <v>0</v>
      </c>
      <c r="AO54" s="33" t="b">
        <f>IF(S54=Data!$PX$3,Data!$QB$1,IF(S54=Data!$PX$2,Data!$QC$1,IF(S54=Data!$PX$4,Data!$QD$1)))</f>
        <v>0</v>
      </c>
      <c r="AQ54" s="33" t="str">
        <f>IF(D54=Data!$W$3,Data!$QF$1,IF(D54=Data!$W$4,Data!$QF$1,IF(D54=Data!$W$5,Data!$QF$1,IF(D54=Data!$W$6,Data!$QF$1,IF(D54=Data!$W$7,Data!$QF$1,IF(D54=Data!$W$8,Data!$QF$1,IF(D54=Data!$W$9,Data!$QF$1,IF(D54=Data!$W$10,Data!$QE$1,IF(D54=Data!$W$11,Data!$QF$1,IF(D54=Data!$W$12,Data!$QF$1,IF(D54=Data!$W$13,Data!$QF$1,IF(D54=Data!$W$14,Data!$QF$1,IF(D54=Data!$W$15,Data!$QF$1,IF(D54=Data!$W$16,Data!$QF$1))))))))))))))</f>
        <v>RollerBracketType2</v>
      </c>
      <c r="BA54" s="40" t="str">
        <f>IF(AND(F54&lt;2130, OR(G54&lt;2100)),Data!$KS$1,Data!$KT$1)</f>
        <v>Small_Tube</v>
      </c>
      <c r="BB54" s="172" t="e">
        <f>MATCH(W54,Data!$LA$1:$LD$1,0)</f>
        <v>#N/A</v>
      </c>
      <c r="BC54" s="172">
        <f>MATCH('Roller Blinds'!BA54,Data!$KZ$2:$KZ$3,0)</f>
        <v>1</v>
      </c>
      <c r="BD54" s="172" t="e">
        <f>INDEX(Data!$LA$2:$LD$3,'Roller Blinds'!BC54,'Roller Blinds'!BB54)</f>
        <v>#N/A</v>
      </c>
      <c r="BG54" s="172" t="b">
        <f>IF(O54=Data!$QK$2,Data!$QL$1,IF(O54=Data!$QK$3,Data!$QM$1,IF(O54=Data!$QK$4,Data!$QN$1,IF(O54=Data!$QK$5,Data!$QO$1,IF(O54=Data!$QK$6,Data!$QP$1,IF(O54=Data!$QK$7,Data!$QQ$1,IF(O54=Data!$QK$8,Data!$QR$1,IF(O54=Data!$QK$9,Data!$QS$1, IF(O54=Data!$QK$10,Data!$QV$1, IF(O54=Data!$QK$11,Data!$QW$1))))))))))</f>
        <v>0</v>
      </c>
      <c r="BH54" s="33" t="b">
        <f>IF(O54=Data!$QK$2,Data!$QL$17,IF(O54=Data!$QK$3,Data!$QM$17,IF(O54=Data!$QK$4,Data!$QN$17,IF(O54=Data!$QK$5,Data!$QO$17,IF(O54=Data!$QK$6,Data!$QP$17,IF(O54=Data!$QK$7,Data!$QQ$17,IF(O54=Data!$QK$8,Data!$QR$17,IF(O54=Data!$QK$9,Data!$QS$17,IF(O54=Data!$QK$10,Data!$QV$17,IF(O54=Data!$QK$11,Data!$QW$17))))))))))</f>
        <v>0</v>
      </c>
      <c r="BI54" s="33" t="e">
        <f>VLOOKUP(O54,Data!$PU$13:$PV$22,2,FALSE)</f>
        <v>#N/A</v>
      </c>
      <c r="BJ54" s="33" t="e">
        <f>MATCH('Roller Blinds'!D54,Data!$AAK$2:$AAK$15)</f>
        <v>#N/A</v>
      </c>
      <c r="BK54" s="33" t="e">
        <f>MATCH(L54,Data!$AAL$1:$AAM$1)</f>
        <v>#N/A</v>
      </c>
      <c r="BL54" s="33" t="e">
        <f>INDEX(Data!$AAL$2:$AAM$15,BJ54,BK54)</f>
        <v>#N/A</v>
      </c>
    </row>
    <row r="55" spans="1:64" ht="30" customHeight="1" thickTop="1" thickBot="1">
      <c r="A55" s="52">
        <v>48</v>
      </c>
      <c r="B55" s="13"/>
      <c r="C55" s="13"/>
      <c r="D55" s="19"/>
      <c r="E55" s="15"/>
      <c r="F55" s="10"/>
      <c r="G55" s="10"/>
      <c r="H55" s="14"/>
      <c r="I55" s="14"/>
      <c r="J55" s="525"/>
      <c r="K55" s="526"/>
      <c r="L55" s="15"/>
      <c r="M55" s="15"/>
      <c r="N55" s="15"/>
      <c r="O55" s="577"/>
      <c r="P55" s="578"/>
      <c r="Q55" s="13"/>
      <c r="R55" s="13"/>
      <c r="S55" s="13"/>
      <c r="T55" s="13"/>
      <c r="U55" s="13"/>
      <c r="V55" s="13"/>
      <c r="W55" s="13"/>
      <c r="X55" s="15"/>
      <c r="Y55" s="16"/>
      <c r="Z55" s="175"/>
      <c r="AA55" s="229"/>
      <c r="AB55" s="230"/>
      <c r="AC55" s="33" t="e">
        <f t="shared" si="0"/>
        <v>#N/A</v>
      </c>
      <c r="AD55" s="33" t="e">
        <f>VLOOKUP(S55,Data!$QH$2:$QI$4,2,FALSE)</f>
        <v>#N/A</v>
      </c>
      <c r="AF55" s="172" t="e">
        <f t="shared" si="1"/>
        <v>#N/A</v>
      </c>
      <c r="AI55" s="172" t="b">
        <f>IF(W55=Data!$KK$2,Data!$KM$1,IF(W55=Data!$KK$3,Data!$KN$1,IF(W55=Data!$KK$4,Data!$KP$1,IF(W55=Data!$KK$5,Data!$KQ$1))))</f>
        <v>0</v>
      </c>
      <c r="AJ55" s="33" t="str">
        <f>IF(D55=Data!$W$10,Data!$QJ$1,Data!$QK$1)</f>
        <v>RollerControl</v>
      </c>
      <c r="AM55" s="33" t="b">
        <f>IF(S55=Data!$PX$2,Data!$PZ$1,IF(S55=Data!$PX$3,Data!$PY$1,IF(S55=Data!$PX$4,Data!$QA$1)))</f>
        <v>0</v>
      </c>
      <c r="AO55" s="33" t="b">
        <f>IF(S55=Data!$PX$3,Data!$QB$1,IF(S55=Data!$PX$2,Data!$QC$1,IF(S55=Data!$PX$4,Data!$QD$1)))</f>
        <v>0</v>
      </c>
      <c r="AQ55" s="33" t="str">
        <f>IF(D55=Data!$W$3,Data!$QF$1,IF(D55=Data!$W$4,Data!$QF$1,IF(D55=Data!$W$5,Data!$QF$1,IF(D55=Data!$W$6,Data!$QF$1,IF(D55=Data!$W$7,Data!$QF$1,IF(D55=Data!$W$8,Data!$QF$1,IF(D55=Data!$W$9,Data!$QF$1,IF(D55=Data!$W$10,Data!$QE$1,IF(D55=Data!$W$11,Data!$QF$1,IF(D55=Data!$W$12,Data!$QF$1,IF(D55=Data!$W$13,Data!$QF$1,IF(D55=Data!$W$14,Data!$QF$1,IF(D55=Data!$W$15,Data!$QF$1,IF(D55=Data!$W$16,Data!$QF$1))))))))))))))</f>
        <v>RollerBracketType2</v>
      </c>
      <c r="BA55" s="40" t="str">
        <f>IF(AND(F55&lt;2130, OR(G55&lt;2100)),Data!$KS$1,Data!$KT$1)</f>
        <v>Small_Tube</v>
      </c>
      <c r="BB55" s="172" t="e">
        <f>MATCH(W55,Data!$LA$1:$LD$1,0)</f>
        <v>#N/A</v>
      </c>
      <c r="BC55" s="172">
        <f>MATCH('Roller Blinds'!BA55,Data!$KZ$2:$KZ$3,0)</f>
        <v>1</v>
      </c>
      <c r="BD55" s="172" t="e">
        <f>INDEX(Data!$LA$2:$LD$3,'Roller Blinds'!BC55,'Roller Blinds'!BB55)</f>
        <v>#N/A</v>
      </c>
      <c r="BG55" s="172" t="b">
        <f>IF(O55=Data!$QK$2,Data!$QL$1,IF(O55=Data!$QK$3,Data!$QM$1,IF(O55=Data!$QK$4,Data!$QN$1,IF(O55=Data!$QK$5,Data!$QO$1,IF(O55=Data!$QK$6,Data!$QP$1,IF(O55=Data!$QK$7,Data!$QQ$1,IF(O55=Data!$QK$8,Data!$QR$1,IF(O55=Data!$QK$9,Data!$QS$1, IF(O55=Data!$QK$10,Data!$QV$1, IF(O55=Data!$QK$11,Data!$QW$1))))))))))</f>
        <v>0</v>
      </c>
      <c r="BH55" s="33" t="b">
        <f>IF(O55=Data!$QK$2,Data!$QL$17,IF(O55=Data!$QK$3,Data!$QM$17,IF(O55=Data!$QK$4,Data!$QN$17,IF(O55=Data!$QK$5,Data!$QO$17,IF(O55=Data!$QK$6,Data!$QP$17,IF(O55=Data!$QK$7,Data!$QQ$17,IF(O55=Data!$QK$8,Data!$QR$17,IF(O55=Data!$QK$9,Data!$QS$17,IF(O55=Data!$QK$10,Data!$QV$17,IF(O55=Data!$QK$11,Data!$QW$17))))))))))</f>
        <v>0</v>
      </c>
      <c r="BI55" s="33" t="e">
        <f>VLOOKUP(O55,Data!$PU$13:$PV$22,2,FALSE)</f>
        <v>#N/A</v>
      </c>
      <c r="BJ55" s="33" t="e">
        <f>MATCH('Roller Blinds'!D55,Data!$AAK$2:$AAK$15)</f>
        <v>#N/A</v>
      </c>
      <c r="BK55" s="33" t="e">
        <f>MATCH(L55,Data!$AAL$1:$AAM$1)</f>
        <v>#N/A</v>
      </c>
      <c r="BL55" s="33" t="e">
        <f>INDEX(Data!$AAL$2:$AAM$15,BJ55,BK55)</f>
        <v>#N/A</v>
      </c>
    </row>
    <row r="56" spans="1:64" ht="30" customHeight="1" thickTop="1" thickBot="1">
      <c r="A56" s="52">
        <v>49</v>
      </c>
      <c r="B56" s="13"/>
      <c r="C56" s="13"/>
      <c r="D56" s="19"/>
      <c r="E56" s="15"/>
      <c r="F56" s="10"/>
      <c r="G56" s="10"/>
      <c r="H56" s="14"/>
      <c r="I56" s="14"/>
      <c r="J56" s="525"/>
      <c r="K56" s="526"/>
      <c r="L56" s="15"/>
      <c r="M56" s="15"/>
      <c r="N56" s="15"/>
      <c r="O56" s="577"/>
      <c r="P56" s="578"/>
      <c r="Q56" s="13"/>
      <c r="R56" s="13"/>
      <c r="S56" s="13"/>
      <c r="T56" s="13"/>
      <c r="U56" s="13"/>
      <c r="V56" s="13"/>
      <c r="W56" s="13"/>
      <c r="X56" s="15"/>
      <c r="Y56" s="16"/>
      <c r="Z56" s="175"/>
      <c r="AA56" s="229"/>
      <c r="AB56" s="230"/>
      <c r="AC56" s="33" t="e">
        <f t="shared" si="0"/>
        <v>#N/A</v>
      </c>
      <c r="AD56" s="33" t="e">
        <f>VLOOKUP(S56,Data!$QH$2:$QI$4,2,FALSE)</f>
        <v>#N/A</v>
      </c>
      <c r="AF56" s="172" t="e">
        <f t="shared" si="1"/>
        <v>#N/A</v>
      </c>
      <c r="AI56" s="172" t="b">
        <f>IF(W56=Data!$KK$2,Data!$KM$1,IF(W56=Data!$KK$3,Data!$KN$1,IF(W56=Data!$KK$4,Data!$KP$1,IF(W56=Data!$KK$5,Data!$KQ$1))))</f>
        <v>0</v>
      </c>
      <c r="AJ56" s="33" t="str">
        <f>IF(D56=Data!$W$10,Data!$QJ$1,Data!$QK$1)</f>
        <v>RollerControl</v>
      </c>
      <c r="AM56" s="33" t="b">
        <f>IF(S56=Data!$PX$2,Data!$PZ$1,IF(S56=Data!$PX$3,Data!$PY$1,IF(S56=Data!$PX$4,Data!$QA$1)))</f>
        <v>0</v>
      </c>
      <c r="AO56" s="33" t="b">
        <f>IF(S56=Data!$PX$3,Data!$QB$1,IF(S56=Data!$PX$2,Data!$QC$1,IF(S56=Data!$PX$4,Data!$QD$1)))</f>
        <v>0</v>
      </c>
      <c r="AQ56" s="33" t="str">
        <f>IF(D56=Data!$W$3,Data!$QF$1,IF(D56=Data!$W$4,Data!$QF$1,IF(D56=Data!$W$5,Data!$QF$1,IF(D56=Data!$W$6,Data!$QF$1,IF(D56=Data!$W$7,Data!$QF$1,IF(D56=Data!$W$8,Data!$QF$1,IF(D56=Data!$W$9,Data!$QF$1,IF(D56=Data!$W$10,Data!$QE$1,IF(D56=Data!$W$11,Data!$QF$1,IF(D56=Data!$W$12,Data!$QF$1,IF(D56=Data!$W$13,Data!$QF$1,IF(D56=Data!$W$14,Data!$QF$1,IF(D56=Data!$W$15,Data!$QF$1,IF(D56=Data!$W$16,Data!$QF$1))))))))))))))</f>
        <v>RollerBracketType2</v>
      </c>
      <c r="BA56" s="40" t="str">
        <f>IF(AND(F56&lt;2130, OR(G56&lt;2100)),Data!$KS$1,Data!$KT$1)</f>
        <v>Small_Tube</v>
      </c>
      <c r="BB56" s="172" t="e">
        <f>MATCH(W56,Data!$LA$1:$LD$1,0)</f>
        <v>#N/A</v>
      </c>
      <c r="BC56" s="172">
        <f>MATCH('Roller Blinds'!BA56,Data!$KZ$2:$KZ$3,0)</f>
        <v>1</v>
      </c>
      <c r="BD56" s="172" t="e">
        <f>INDEX(Data!$LA$2:$LD$3,'Roller Blinds'!BC56,'Roller Blinds'!BB56)</f>
        <v>#N/A</v>
      </c>
      <c r="BG56" s="172" t="b">
        <f>IF(O56=Data!$QK$2,Data!$QL$1,IF(O56=Data!$QK$3,Data!$QM$1,IF(O56=Data!$QK$4,Data!$QN$1,IF(O56=Data!$QK$5,Data!$QO$1,IF(O56=Data!$QK$6,Data!$QP$1,IF(O56=Data!$QK$7,Data!$QQ$1,IF(O56=Data!$QK$8,Data!$QR$1,IF(O56=Data!$QK$9,Data!$QS$1, IF(O56=Data!$QK$10,Data!$QV$1, IF(O56=Data!$QK$11,Data!$QW$1))))))))))</f>
        <v>0</v>
      </c>
      <c r="BH56" s="33" t="b">
        <f>IF(O56=Data!$QK$2,Data!$QL$17,IF(O56=Data!$QK$3,Data!$QM$17,IF(O56=Data!$QK$4,Data!$QN$17,IF(O56=Data!$QK$5,Data!$QO$17,IF(O56=Data!$QK$6,Data!$QP$17,IF(O56=Data!$QK$7,Data!$QQ$17,IF(O56=Data!$QK$8,Data!$QR$17,IF(O56=Data!$QK$9,Data!$QS$17,IF(O56=Data!$QK$10,Data!$QV$17,IF(O56=Data!$QK$11,Data!$QW$17))))))))))</f>
        <v>0</v>
      </c>
      <c r="BI56" s="33" t="e">
        <f>VLOOKUP(O56,Data!$PU$13:$PV$22,2,FALSE)</f>
        <v>#N/A</v>
      </c>
      <c r="BJ56" s="33" t="e">
        <f>MATCH('Roller Blinds'!D56,Data!$AAK$2:$AAK$15)</f>
        <v>#N/A</v>
      </c>
      <c r="BK56" s="33" t="e">
        <f>MATCH(L56,Data!$AAL$1:$AAM$1)</f>
        <v>#N/A</v>
      </c>
      <c r="BL56" s="33" t="e">
        <f>INDEX(Data!$AAL$2:$AAM$15,BJ56,BK56)</f>
        <v>#N/A</v>
      </c>
    </row>
    <row r="57" spans="1:64" ht="30" customHeight="1" thickTop="1" thickBot="1">
      <c r="A57" s="53">
        <v>50</v>
      </c>
      <c r="B57" s="21"/>
      <c r="C57" s="21"/>
      <c r="D57" s="45"/>
      <c r="E57" s="44"/>
      <c r="F57" s="46"/>
      <c r="G57" s="46"/>
      <c r="H57" s="22"/>
      <c r="I57" s="46"/>
      <c r="J57" s="589"/>
      <c r="K57" s="590"/>
      <c r="L57" s="47"/>
      <c r="M57" s="44"/>
      <c r="N57" s="47"/>
      <c r="O57" s="591"/>
      <c r="P57" s="592"/>
      <c r="Q57" s="21"/>
      <c r="R57" s="21"/>
      <c r="S57" s="45"/>
      <c r="T57" s="21"/>
      <c r="U57" s="21"/>
      <c r="V57" s="21"/>
      <c r="W57" s="21"/>
      <c r="X57" s="44"/>
      <c r="Y57" s="30"/>
      <c r="Z57" s="176"/>
      <c r="AA57" s="229"/>
      <c r="AB57" s="230"/>
      <c r="AC57" s="33" t="e">
        <f t="shared" si="0"/>
        <v>#N/A</v>
      </c>
      <c r="AD57" s="33" t="e">
        <f>VLOOKUP(S57,Data!$QH$2:$QI$4,2,FALSE)</f>
        <v>#N/A</v>
      </c>
      <c r="AF57" s="172" t="e">
        <f t="shared" si="1"/>
        <v>#N/A</v>
      </c>
      <c r="AI57" s="172" t="b">
        <f>IF(W57=Data!$KK$2,Data!$KM$1,IF(W57=Data!$KK$3,Data!$KN$1,IF(W57=Data!$KK$4,Data!$KP$1,IF(W57=Data!$KK$5,Data!$KQ$1))))</f>
        <v>0</v>
      </c>
      <c r="AJ57" s="33" t="str">
        <f>IF(D57=Data!$W$10,Data!$QJ$1,Data!$QK$1)</f>
        <v>RollerControl</v>
      </c>
      <c r="AM57" s="33" t="b">
        <f>IF(S57=Data!$PX$2,Data!$PZ$1,IF(S57=Data!$PX$3,Data!$PY$1,IF(S57=Data!$PX$4,Data!$QA$1)))</f>
        <v>0</v>
      </c>
      <c r="AO57" s="33" t="b">
        <f>IF(S57=Data!$PX$3,Data!$QB$1,IF(S57=Data!$PX$2,Data!$QC$1,IF(S57=Data!$PX$4,Data!$QD$1)))</f>
        <v>0</v>
      </c>
      <c r="AQ57" s="33" t="str">
        <f>IF(D57=Data!$W$3,Data!$QF$1,IF(D57=Data!$W$4,Data!$QF$1,IF(D57=Data!$W$5,Data!$QF$1,IF(D57=Data!$W$6,Data!$QF$1,IF(D57=Data!$W$7,Data!$QF$1,IF(D57=Data!$W$8,Data!$QF$1,IF(D57=Data!$W$9,Data!$QF$1,IF(D57=Data!$W$10,Data!$QE$1,IF(D57=Data!$W$11,Data!$QF$1,IF(D57=Data!$W$12,Data!$QF$1,IF(D57=Data!$W$13,Data!$QF$1,IF(D57=Data!$W$14,Data!$QF$1,IF(D57=Data!$W$15,Data!$QF$1,IF(D57=Data!$W$16,Data!$QF$1))))))))))))))</f>
        <v>RollerBracketType2</v>
      </c>
      <c r="BA57" s="40" t="str">
        <f>IF(AND(F57&lt;2130, OR(G57&lt;2100)),Data!$KS$1,Data!$KT$1)</f>
        <v>Small_Tube</v>
      </c>
      <c r="BB57" s="172" t="e">
        <f>MATCH(W57,Data!$LA$1:$LD$1,0)</f>
        <v>#N/A</v>
      </c>
      <c r="BC57" s="172">
        <f>MATCH('Roller Blinds'!BA57,Data!$KZ$2:$KZ$3,0)</f>
        <v>1</v>
      </c>
      <c r="BD57" s="172" t="e">
        <f>INDEX(Data!$LA$2:$LD$3,'Roller Blinds'!BC57,'Roller Blinds'!BB57)</f>
        <v>#N/A</v>
      </c>
      <c r="BG57" s="172" t="b">
        <f>IF(O57=Data!$QK$2,Data!$QL$1,IF(O57=Data!$QK$3,Data!$QM$1,IF(O57=Data!$QK$4,Data!$QN$1,IF(O57=Data!$QK$5,Data!$QO$1,IF(O57=Data!$QK$6,Data!$QP$1,IF(O57=Data!$QK$7,Data!$QQ$1,IF(O57=Data!$QK$8,Data!$QR$1,IF(O57=Data!$QK$9,Data!$QS$1, IF(O57=Data!$QK$10,Data!$QV$1, IF(O57=Data!$QK$11,Data!$QW$1))))))))))</f>
        <v>0</v>
      </c>
      <c r="BH57" s="33" t="b">
        <f>IF(O57=Data!$QK$2,Data!$QL$17,IF(O57=Data!$QK$3,Data!$QM$17,IF(O57=Data!$QK$4,Data!$QN$17,IF(O57=Data!$QK$5,Data!$QO$17,IF(O57=Data!$QK$6,Data!$QP$17,IF(O57=Data!$QK$7,Data!$QQ$17,IF(O57=Data!$QK$8,Data!$QR$17,IF(O57=Data!$QK$9,Data!$QS$17,IF(O57=Data!$QK$10,Data!$QV$17,IF(O57=Data!$QK$11,Data!$QW$17))))))))))</f>
        <v>0</v>
      </c>
      <c r="BI57" s="33" t="e">
        <f>VLOOKUP(O57,Data!$PU$13:$PV$22,2,FALSE)</f>
        <v>#N/A</v>
      </c>
      <c r="BJ57" s="33" t="e">
        <f>MATCH('Roller Blinds'!D57,Data!$AAK$2:$AAK$15)</f>
        <v>#N/A</v>
      </c>
      <c r="BK57" s="33" t="e">
        <f>MATCH(L57,Data!$AAL$1:$AAM$1)</f>
        <v>#N/A</v>
      </c>
      <c r="BL57" s="33" t="e">
        <f>INDEX(Data!$AAL$2:$AAM$15,BJ57,BK57)</f>
        <v>#N/A</v>
      </c>
    </row>
    <row r="58" spans="1:64" ht="15.75" thickTop="1">
      <c r="A58" s="77"/>
    </row>
  </sheetData>
  <sheetProtection password="A0FF" sheet="1" objects="1" scenarios="1"/>
  <mergeCells count="120">
    <mergeCell ref="J56:K56"/>
    <mergeCell ref="O56:P56"/>
    <mergeCell ref="J57:K57"/>
    <mergeCell ref="O57:P57"/>
    <mergeCell ref="J53:K53"/>
    <mergeCell ref="O53:P53"/>
    <mergeCell ref="J54:K54"/>
    <mergeCell ref="J47:K47"/>
    <mergeCell ref="O47:P47"/>
    <mergeCell ref="J48:K48"/>
    <mergeCell ref="O48:P48"/>
    <mergeCell ref="J49:K49"/>
    <mergeCell ref="O49:P49"/>
    <mergeCell ref="O54:P54"/>
    <mergeCell ref="J55:K55"/>
    <mergeCell ref="O55:P55"/>
    <mergeCell ref="J50:K50"/>
    <mergeCell ref="O50:P50"/>
    <mergeCell ref="J51:K51"/>
    <mergeCell ref="O51:P51"/>
    <mergeCell ref="J52:K52"/>
    <mergeCell ref="O52:P52"/>
    <mergeCell ref="J42:K42"/>
    <mergeCell ref="O42:P42"/>
    <mergeCell ref="J43:K43"/>
    <mergeCell ref="O43:P43"/>
    <mergeCell ref="J44:K44"/>
    <mergeCell ref="O44:P44"/>
    <mergeCell ref="J45:K45"/>
    <mergeCell ref="O45:P45"/>
    <mergeCell ref="J46:K46"/>
    <mergeCell ref="O46:P46"/>
    <mergeCell ref="J37:K37"/>
    <mergeCell ref="O37:P37"/>
    <mergeCell ref="J38:K38"/>
    <mergeCell ref="O38:P38"/>
    <mergeCell ref="J39:K39"/>
    <mergeCell ref="O39:P39"/>
    <mergeCell ref="J40:K40"/>
    <mergeCell ref="O40:P40"/>
    <mergeCell ref="J41:K41"/>
    <mergeCell ref="O41:P41"/>
    <mergeCell ref="J32:K32"/>
    <mergeCell ref="O32:P32"/>
    <mergeCell ref="J33:K33"/>
    <mergeCell ref="O33:P33"/>
    <mergeCell ref="J34:K34"/>
    <mergeCell ref="O34:P34"/>
    <mergeCell ref="J35:K35"/>
    <mergeCell ref="O35:P35"/>
    <mergeCell ref="J36:K36"/>
    <mergeCell ref="O36:P36"/>
    <mergeCell ref="J27:K27"/>
    <mergeCell ref="O27:P27"/>
    <mergeCell ref="J28:K28"/>
    <mergeCell ref="O28:P28"/>
    <mergeCell ref="J29:K29"/>
    <mergeCell ref="O29:P29"/>
    <mergeCell ref="J30:K30"/>
    <mergeCell ref="O30:P30"/>
    <mergeCell ref="J31:K31"/>
    <mergeCell ref="O31:P31"/>
    <mergeCell ref="J22:K22"/>
    <mergeCell ref="O22:P22"/>
    <mergeCell ref="J23:K23"/>
    <mergeCell ref="O23:P23"/>
    <mergeCell ref="J24:K24"/>
    <mergeCell ref="O24:P24"/>
    <mergeCell ref="J25:K25"/>
    <mergeCell ref="O25:P25"/>
    <mergeCell ref="J26:K26"/>
    <mergeCell ref="O26:P26"/>
    <mergeCell ref="J17:K17"/>
    <mergeCell ref="O17:P17"/>
    <mergeCell ref="J18:K18"/>
    <mergeCell ref="O18:P18"/>
    <mergeCell ref="J19:K19"/>
    <mergeCell ref="O19:P19"/>
    <mergeCell ref="J20:K20"/>
    <mergeCell ref="O20:P20"/>
    <mergeCell ref="J21:K21"/>
    <mergeCell ref="O21:P21"/>
    <mergeCell ref="J12:K12"/>
    <mergeCell ref="O12:P12"/>
    <mergeCell ref="J13:K13"/>
    <mergeCell ref="O13:P13"/>
    <mergeCell ref="J14:K14"/>
    <mergeCell ref="O14:P14"/>
    <mergeCell ref="J15:K15"/>
    <mergeCell ref="O15:P15"/>
    <mergeCell ref="J16:K16"/>
    <mergeCell ref="O16:P16"/>
    <mergeCell ref="J8:K8"/>
    <mergeCell ref="O8:P8"/>
    <mergeCell ref="J9:K9"/>
    <mergeCell ref="O9:P9"/>
    <mergeCell ref="J10:K10"/>
    <mergeCell ref="O10:P10"/>
    <mergeCell ref="J11:K11"/>
    <mergeCell ref="O11:P11"/>
    <mergeCell ref="N5:Y5"/>
    <mergeCell ref="J7:K7"/>
    <mergeCell ref="O7:P7"/>
    <mergeCell ref="L5:M5"/>
    <mergeCell ref="L6:M6"/>
    <mergeCell ref="N6:Y6"/>
    <mergeCell ref="A6:J6"/>
    <mergeCell ref="A4:C4"/>
    <mergeCell ref="F4:G4"/>
    <mergeCell ref="N4:Y4"/>
    <mergeCell ref="N1:Y1"/>
    <mergeCell ref="N2:Y2"/>
    <mergeCell ref="N3:Y3"/>
    <mergeCell ref="L1:M1"/>
    <mergeCell ref="L2:M2"/>
    <mergeCell ref="L3:M3"/>
    <mergeCell ref="L4:M4"/>
    <mergeCell ref="F2:J2"/>
    <mergeCell ref="D4:E4"/>
    <mergeCell ref="H4:J4"/>
  </mergeCells>
  <conditionalFormatting sqref="Y8:Y57">
    <cfRule type="containsText" dxfId="98" priority="11" stopIfTrue="1" operator="containsText" text="Yes">
      <formula>NOT(ISERROR(SEARCH("Yes",Y8)))</formula>
    </cfRule>
  </conditionalFormatting>
  <conditionalFormatting sqref="R8:R57">
    <cfRule type="containsText" dxfId="97" priority="1" operator="containsText" text="Nickel">
      <formula>NOT(ISERROR(SEARCH("Nickel",R8)))</formula>
    </cfRule>
    <cfRule type="containsText" dxfId="96" priority="9" stopIfTrue="1" operator="containsText" text="Stainless Steel">
      <formula>NOT(ISERROR(SEARCH("Stainless Steel",R8)))</formula>
    </cfRule>
  </conditionalFormatting>
  <conditionalFormatting sqref="C8:C57">
    <cfRule type="cellIs" dxfId="95" priority="7" stopIfTrue="1" operator="greaterThan">
      <formula>1</formula>
    </cfRule>
  </conditionalFormatting>
  <conditionalFormatting sqref="T8:T57">
    <cfRule type="expression" dxfId="94" priority="6">
      <formula>AF8="Enter"</formula>
    </cfRule>
  </conditionalFormatting>
  <conditionalFormatting sqref="N6">
    <cfRule type="notContainsBlanks" dxfId="93" priority="5">
      <formula>LEN(TRIM(N6))&gt;0</formula>
    </cfRule>
  </conditionalFormatting>
  <conditionalFormatting sqref="U8:U57">
    <cfRule type="expression" dxfId="92" priority="4">
      <formula>AC8="Enter"</formula>
    </cfRule>
  </conditionalFormatting>
  <conditionalFormatting sqref="W8:W57">
    <cfRule type="containsText" dxfId="91" priority="2" operator="containsText" text="Link">
      <formula>NOT(ISERROR(SEARCH("Link",W8)))</formula>
    </cfRule>
    <cfRule type="containsText" dxfId="90" priority="3" operator="containsText" text="Double">
      <formula>NOT(ISERROR(SEARCH("Double",W8)))</formula>
    </cfRule>
  </conditionalFormatting>
  <dataValidations count="22">
    <dataValidation operator="equal" allowBlank="1" showDropDown="1" showInputMessage="1" showErrorMessage="1" errorTitle="Invalid Entry" error="Invalid Entry" sqref="BA8:BA57" xr:uid="{00000000-0002-0000-0400-000000000000}"/>
    <dataValidation allowBlank="1" showInputMessage="1" errorTitle="Invalid Enrty" error="Please select from List!" sqref="Z8:Z57" xr:uid="{00000000-0002-0000-0400-000001000000}"/>
    <dataValidation type="list" allowBlank="1" showInputMessage="1" showErrorMessage="1" errorTitle="Invalid Entry" error="Invalid Entry" sqref="X8:X57" xr:uid="{00000000-0002-0000-0400-000002000000}">
      <formula1>INDIRECT(SUBSTITUTE(BD8," ","_"))</formula1>
    </dataValidation>
    <dataValidation type="list" allowBlank="1" showInputMessage="1" showErrorMessage="1" errorTitle="Invalid Entry" error="Invalid Entry" sqref="V8:V57" xr:uid="{00000000-0002-0000-0400-000003000000}">
      <formula1>"Standard, Over Roll"</formula1>
    </dataValidation>
    <dataValidation type="list" allowBlank="1" showInputMessage="1" showErrorMessage="1" errorTitle="Invalid Entry" error="Invalid Entry" sqref="L8:L57" xr:uid="{00000000-0002-0000-0400-000004000000}">
      <formula1>"Oval Bottom Rail, Sewn In Pocket"</formula1>
    </dataValidation>
    <dataValidation type="list" allowBlank="1" showInputMessage="1" showErrorMessage="1" errorTitle="Invalid Entry" error="Invalid Entry" sqref="N8:N57" xr:uid="{00000000-0002-0000-0400-000005000000}">
      <formula1>"White, White Birch, Black"</formula1>
    </dataValidation>
    <dataValidation type="list" allowBlank="1" showInputMessage="1" showErrorMessage="1" errorTitle="Invalid Entry" error="Invalid Entry" sqref="I8:I57" xr:uid="{00000000-0002-0000-0400-000006000000}">
      <formula1>"Face Fit, Recess Fit"</formula1>
    </dataValidation>
    <dataValidation type="list" allowBlank="1" showInputMessage="1" showErrorMessage="1" errorTitle="Invalid Entry" error="Invalid Entry" sqref="J8:K57" xr:uid="{00000000-0002-0000-0400-000007000000}">
      <formula1>"NAM, ACT"</formula1>
    </dataValidation>
    <dataValidation type="list" allowBlank="1" showInputMessage="1" showErrorMessage="1" errorTitle="Invalid Entry" error="Invalid Entry" sqref="H8:H57" xr:uid="{00000000-0002-0000-0400-000008000000}">
      <formula1>WindowType</formula1>
    </dataValidation>
    <dataValidation type="list" allowBlank="1" showInputMessage="1" showErrorMessage="1" errorTitle="Invalid Entry" error="Invalid Entry" sqref="D8:D57" xr:uid="{00000000-0002-0000-0400-000009000000}">
      <formula1>Roller_Blind_Product</formula1>
    </dataValidation>
    <dataValidation type="whole" errorStyle="warning" allowBlank="1" showInputMessage="1" showErrorMessage="1" errorTitle="Be Aware" error="Minimum Width is 300mm._x000a__x000a_Maximum Width is 3030mm. _x000a__x000a_All openings over the Maximum Widths will require Multiple Blinds._x000a__x000a_Additional sizes outside these Maximum's may be able to be manufactured." sqref="F8:F57" xr:uid="{00000000-0002-0000-0400-00000A000000}">
      <formula1>300</formula1>
      <formula2>3030</formula2>
    </dataValidation>
    <dataValidation type="whole" errorStyle="warning" allowBlank="1" showInputMessage="1" showErrorMessage="1" errorTitle="Be Aware" error="Minimum Height/Drop is 300mm._x000a__x000a_Maximum Height/Drop is 3000mm. _x000a_" sqref="G8:G57" xr:uid="{00000000-0002-0000-0400-00000B000000}">
      <formula1>300</formula1>
      <formula2>3000</formula2>
    </dataValidation>
    <dataValidation allowBlank="1" sqref="AA1:AB57" xr:uid="{00000000-0002-0000-0400-00000C000000}"/>
    <dataValidation type="list" allowBlank="1" showInputMessage="1" showErrorMessage="1" errorTitle="Invalid Entry" error="Invalid Entry" sqref="E8:E57" xr:uid="{00000000-0002-0000-0400-00000D000000}">
      <formula1>INDIRECT(SUBSTITUTE(SUBSTITUTE(SUBSTITUTE(D8," ","_"),"(",""),")",""))</formula1>
    </dataValidation>
    <dataValidation type="list" allowBlank="1" showInputMessage="1" showErrorMessage="1" errorTitle="Invalid Entry" error="Invalid Entry" sqref="S8:S57" xr:uid="{00000000-0002-0000-0400-00000E000000}">
      <formula1>RollerUniversalPelmet</formula1>
    </dataValidation>
    <dataValidation type="list" allowBlank="1" showInputMessage="1" showErrorMessage="1" errorTitle="Invalid Entry" error="Invalid Entry" sqref="T8:T57" xr:uid="{00000000-0002-0000-0400-00000F000000}">
      <formula1>INDIRECT(SUBSTITUTE(AM8," ","_"))</formula1>
    </dataValidation>
    <dataValidation type="list" allowBlank="1" showInputMessage="1" showErrorMessage="1" errorTitle="Invalid Entry" error="Invalid Entry" sqref="U8:U57" xr:uid="{00000000-0002-0000-0400-000010000000}">
      <formula1>INDIRECT(SUBSTITUTE(AO8," ","_"))</formula1>
    </dataValidation>
    <dataValidation type="list" allowBlank="1" showInputMessage="1" showErrorMessage="1" errorTitle="Invalid Entry" error="Invalid Entry" sqref="O8:P57" xr:uid="{00000000-0002-0000-0400-000011000000}">
      <formula1>RollerControl</formula1>
    </dataValidation>
    <dataValidation type="list" allowBlank="1" showInputMessage="1" showErrorMessage="1" errorTitle="Invalid Entry" error="Invalid Entry" sqref="Q8:R57" xr:uid="{00000000-0002-0000-0400-000012000000}">
      <formula1>INDIRECT(SUBSTITUTE(SUBSTITUTE(SUBSTITUTE(BG8," ","_"),"(",""),")",""))</formula1>
    </dataValidation>
    <dataValidation type="list" allowBlank="1" showInputMessage="1" showErrorMessage="1" errorTitle="Invalid Entry" error="Invalid Entry" sqref="Y8:Y57" xr:uid="{00000000-0002-0000-0400-000013000000}">
      <formula1>INDIRECT(SUBSTITUTE(SUBSTITUTE(SUBSTITUTE(BI8," ","_"),"(",""),")",""))</formula1>
    </dataValidation>
    <dataValidation type="list" allowBlank="1" showInputMessage="1" showErrorMessage="1" errorTitle="Invalid Entry" error="Invalid Entry" sqref="M8:M57" xr:uid="{00000000-0002-0000-0400-000014000000}">
      <formula1>INDIRECT(SUBSTITUTE(BL8," ","_"))</formula1>
    </dataValidation>
    <dataValidation type="list" allowBlank="1" showInputMessage="1" showErrorMessage="1" errorTitle="Invalid Entry" error="Invalid Entry" sqref="W8:W57" xr:uid="{00000000-0002-0000-0400-000015000000}">
      <formula1>RollerBracketType2</formula1>
    </dataValidation>
  </dataValidations>
  <printOptions horizontalCentered="1"/>
  <pageMargins left="0.23622047244094491" right="0.23622047244094491" top="0.23622047244094491" bottom="0.23622047244094491" header="0.19685039370078741" footer="0.19685039370078741"/>
  <pageSetup paperSize="9" scale="3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BZ28"/>
  <sheetViews>
    <sheetView zoomScale="85" zoomScaleNormal="85" zoomScalePageLayoutView="98" workbookViewId="0">
      <selection activeCell="B8" sqref="B8"/>
    </sheetView>
  </sheetViews>
  <sheetFormatPr defaultRowHeight="15"/>
  <cols>
    <col min="1" max="1" width="6" style="54" customWidth="1"/>
    <col min="2" max="2" width="12" style="54" customWidth="1"/>
    <col min="3" max="3" width="7.5703125" style="54" customWidth="1"/>
    <col min="4" max="4" width="14.5703125" style="54" customWidth="1"/>
    <col min="5" max="5" width="23.85546875" style="54" customWidth="1"/>
    <col min="6" max="6" width="13" style="54" customWidth="1"/>
    <col min="7" max="7" width="12.42578125" style="54" customWidth="1"/>
    <col min="8" max="8" width="15.42578125" style="54" customWidth="1"/>
    <col min="9" max="9" width="14.7109375" style="54" customWidth="1"/>
    <col min="10" max="10" width="10.42578125" style="54" customWidth="1"/>
    <col min="11" max="11" width="4.28515625" style="54" customWidth="1"/>
    <col min="12" max="13" width="14.28515625" style="54" customWidth="1"/>
    <col min="14" max="14" width="6.140625" style="54" customWidth="1"/>
    <col min="15" max="16" width="11.7109375" style="54" customWidth="1"/>
    <col min="17" max="17" width="10.7109375" style="54" customWidth="1"/>
    <col min="18" max="20" width="14.7109375" style="54" customWidth="1"/>
    <col min="21" max="22" width="21.85546875" style="54" customWidth="1"/>
    <col min="23" max="23" width="14.5703125" style="54" customWidth="1"/>
    <col min="24" max="24" width="41.140625" style="54" customWidth="1"/>
    <col min="25" max="25" width="7.7109375" style="80" customWidth="1"/>
    <col min="26" max="26" width="9.140625" style="54" customWidth="1"/>
    <col min="27" max="29" width="9.140625" style="54" hidden="1" customWidth="1"/>
    <col min="30" max="30" width="21.7109375" style="54" hidden="1" customWidth="1"/>
    <col min="31" max="31" width="37.7109375" style="54" hidden="1" customWidth="1"/>
    <col min="32" max="32" width="33.85546875" style="54" hidden="1" customWidth="1"/>
    <col min="33" max="51" width="9.140625" style="54" hidden="1" customWidth="1"/>
    <col min="52" max="52" width="21.28515625" style="54" hidden="1" customWidth="1"/>
    <col min="53" max="54" width="20" style="54" hidden="1" customWidth="1"/>
    <col min="55" max="78" width="9.140625" style="54" hidden="1" customWidth="1"/>
    <col min="79" max="16384" width="9.140625" style="54"/>
  </cols>
  <sheetData>
    <row r="1" spans="1:53" ht="27" customHeight="1">
      <c r="A1" s="114"/>
      <c r="B1" s="115"/>
      <c r="C1" s="115"/>
      <c r="D1" s="115"/>
      <c r="E1" s="171"/>
      <c r="F1" s="115"/>
      <c r="G1" s="115"/>
      <c r="H1" s="115"/>
      <c r="I1" s="115"/>
      <c r="J1" s="121"/>
      <c r="K1" s="58"/>
      <c r="L1" s="538" t="s">
        <v>0</v>
      </c>
      <c r="M1" s="538"/>
      <c r="N1" s="557">
        <f>Summary!D3</f>
        <v>0</v>
      </c>
      <c r="O1" s="557"/>
      <c r="P1" s="557"/>
      <c r="Q1" s="557"/>
      <c r="R1" s="557"/>
      <c r="S1" s="557"/>
      <c r="T1" s="557"/>
      <c r="U1" s="557"/>
      <c r="V1" s="78"/>
      <c r="Y1" s="54"/>
    </row>
    <row r="2" spans="1:53" ht="21" customHeight="1">
      <c r="A2" s="28"/>
      <c r="B2" s="29"/>
      <c r="C2" s="29"/>
      <c r="D2" s="29"/>
      <c r="F2" s="594" t="s">
        <v>187</v>
      </c>
      <c r="G2" s="594"/>
      <c r="H2" s="594"/>
      <c r="I2" s="594"/>
      <c r="J2" s="595"/>
      <c r="K2" s="60"/>
      <c r="L2" s="538" t="s">
        <v>141</v>
      </c>
      <c r="M2" s="538"/>
      <c r="N2" s="561">
        <f>Summary!D6</f>
        <v>0</v>
      </c>
      <c r="O2" s="561"/>
      <c r="P2" s="561"/>
      <c r="Q2" s="561"/>
      <c r="R2" s="561"/>
      <c r="S2" s="561"/>
      <c r="T2" s="561"/>
      <c r="U2" s="561"/>
      <c r="V2" s="79"/>
    </row>
    <row r="3" spans="1:53" ht="21" customHeight="1">
      <c r="A3" s="7"/>
      <c r="B3" s="8"/>
      <c r="C3" s="8"/>
      <c r="D3" s="8"/>
      <c r="F3" s="91"/>
      <c r="G3" s="91"/>
      <c r="H3" s="91"/>
      <c r="I3" s="91"/>
      <c r="J3" s="81"/>
      <c r="K3" s="58"/>
      <c r="L3" s="538" t="s">
        <v>143</v>
      </c>
      <c r="M3" s="538"/>
      <c r="N3" s="593">
        <f>Summary!D4</f>
        <v>0</v>
      </c>
      <c r="O3" s="593"/>
      <c r="P3" s="593"/>
      <c r="Q3" s="593"/>
      <c r="R3" s="593"/>
      <c r="S3" s="593"/>
      <c r="T3" s="593"/>
      <c r="U3" s="593"/>
      <c r="V3" s="79"/>
    </row>
    <row r="4" spans="1:53" ht="21" customHeight="1">
      <c r="A4" s="563" t="s">
        <v>453</v>
      </c>
      <c r="B4" s="563"/>
      <c r="C4" s="563"/>
      <c r="D4" s="564"/>
      <c r="E4" s="565"/>
      <c r="F4" s="563" t="s">
        <v>452</v>
      </c>
      <c r="G4" s="563"/>
      <c r="H4" s="566"/>
      <c r="I4" s="574"/>
      <c r="J4" s="567"/>
      <c r="K4" s="60"/>
      <c r="L4" s="538" t="s">
        <v>978</v>
      </c>
      <c r="M4" s="538"/>
      <c r="N4" s="568">
        <f>Summary!D7</f>
        <v>0</v>
      </c>
      <c r="O4" s="569"/>
      <c r="P4" s="569"/>
      <c r="Q4" s="569"/>
      <c r="R4" s="569"/>
      <c r="S4" s="569"/>
      <c r="T4" s="569"/>
      <c r="U4" s="570"/>
      <c r="V4" s="62"/>
    </row>
    <row r="5" spans="1:53" ht="21" customHeight="1">
      <c r="A5" s="101" t="s">
        <v>415</v>
      </c>
      <c r="B5" s="102"/>
      <c r="C5" s="102"/>
      <c r="D5" s="43" t="s">
        <v>210</v>
      </c>
      <c r="E5" s="119"/>
      <c r="F5" s="74"/>
      <c r="G5" s="119"/>
      <c r="H5" s="102"/>
      <c r="I5" s="102"/>
      <c r="J5" s="103"/>
      <c r="K5" s="60"/>
      <c r="L5" s="538" t="s">
        <v>144</v>
      </c>
      <c r="M5" s="538"/>
      <c r="N5" s="539">
        <f>Summary!D8</f>
        <v>0</v>
      </c>
      <c r="O5" s="539"/>
      <c r="P5" s="539"/>
      <c r="Q5" s="539"/>
      <c r="R5" s="539"/>
      <c r="S5" s="539"/>
      <c r="T5" s="539"/>
      <c r="U5" s="539"/>
      <c r="V5" s="62"/>
    </row>
    <row r="6" spans="1:53" ht="15.75" thickBot="1">
      <c r="F6" s="59"/>
      <c r="L6" s="545" t="s">
        <v>654</v>
      </c>
      <c r="M6" s="545"/>
      <c r="N6" s="581" t="str">
        <f>AE18</f>
        <v/>
      </c>
      <c r="O6" s="598"/>
      <c r="P6" s="598"/>
      <c r="Q6" s="598"/>
      <c r="R6" s="598"/>
      <c r="S6" s="598"/>
      <c r="T6" s="598"/>
      <c r="U6" s="599"/>
      <c r="X6" s="65"/>
    </row>
    <row r="7" spans="1:53" ht="49.5" customHeight="1" thickTop="1" thickBot="1">
      <c r="A7" s="66" t="s">
        <v>146</v>
      </c>
      <c r="B7" s="67" t="s">
        <v>147</v>
      </c>
      <c r="C7" s="67" t="s">
        <v>164</v>
      </c>
      <c r="D7" s="67" t="s">
        <v>448</v>
      </c>
      <c r="E7" s="67" t="s">
        <v>204</v>
      </c>
      <c r="F7" s="93" t="s">
        <v>148</v>
      </c>
      <c r="G7" s="75" t="s">
        <v>149</v>
      </c>
      <c r="H7" s="69" t="s">
        <v>14</v>
      </c>
      <c r="I7" s="69" t="s">
        <v>165</v>
      </c>
      <c r="J7" s="541" t="s">
        <v>13</v>
      </c>
      <c r="K7" s="542"/>
      <c r="L7" s="67" t="s">
        <v>185</v>
      </c>
      <c r="M7" s="579" t="s">
        <v>414</v>
      </c>
      <c r="N7" s="580"/>
      <c r="O7" s="67" t="s">
        <v>189</v>
      </c>
      <c r="P7" s="67" t="s">
        <v>190</v>
      </c>
      <c r="Q7" s="67" t="s">
        <v>186</v>
      </c>
      <c r="R7" s="67" t="s">
        <v>191</v>
      </c>
      <c r="S7" s="67" t="s">
        <v>364</v>
      </c>
      <c r="T7" s="67" t="s">
        <v>365</v>
      </c>
      <c r="U7" s="543" t="s">
        <v>203</v>
      </c>
      <c r="V7" s="600"/>
      <c r="W7" s="231"/>
      <c r="X7" s="231"/>
    </row>
    <row r="8" spans="1:53" ht="36.75" customHeight="1" thickTop="1">
      <c r="A8" s="50">
        <v>1</v>
      </c>
      <c r="B8" s="9"/>
      <c r="C8" s="95"/>
      <c r="D8" s="95"/>
      <c r="E8" s="113"/>
      <c r="F8" s="24"/>
      <c r="G8" s="24"/>
      <c r="H8" s="24"/>
      <c r="I8" s="24"/>
      <c r="J8" s="531"/>
      <c r="K8" s="532"/>
      <c r="L8" s="11"/>
      <c r="M8" s="575"/>
      <c r="N8" s="576"/>
      <c r="O8" s="25"/>
      <c r="P8" s="25"/>
      <c r="Q8" s="25"/>
      <c r="R8" s="25"/>
      <c r="S8" s="25"/>
      <c r="T8" s="86" t="str">
        <f>IF(S8="Yes",AY8*C8, "N/A")</f>
        <v>N/A</v>
      </c>
      <c r="U8" s="601"/>
      <c r="V8" s="602"/>
      <c r="W8" s="229"/>
      <c r="X8" s="230"/>
      <c r="AB8" s="54" t="str">
        <f>IF(AND(O8="Yes",Q8=""),"Enter","OK")</f>
        <v>OK</v>
      </c>
      <c r="AC8" s="33" t="str">
        <f>IF(AND(O8="Yes",P8=""),"Enter","OK")</f>
        <v>OK</v>
      </c>
      <c r="AD8" s="54" t="b">
        <f>IF(O8="Yes",Data!$CU$2, IF('Vertical Blinds'!O8="No",Data!$CV$2))</f>
        <v>0</v>
      </c>
      <c r="AE8" s="33" t="str">
        <f>IF(COUNTIF($H$8:$H$27,Data!KF3),Data!KG3,"")</f>
        <v/>
      </c>
      <c r="AF8" s="33" t="str">
        <f>IF(SUM(--ISNUMBER(SEARCH({"Bay","Corner"}, K8:K17))),"Yes","No")</f>
        <v>No</v>
      </c>
      <c r="AY8" s="54">
        <f t="shared" ref="AY8:AY27" si="0">IF(F8&lt;1000,2,IF(F8&lt;2000,3,IF(F8&lt;2500,4,IF(F8&lt;3000,6,IF(F8&lt;3500,7,IF(F8&lt;4000,8,IF(F8&lt;4801,9,IF(F8&gt;=4801,"N/A"))))))))</f>
        <v>2</v>
      </c>
      <c r="AZ8" s="54" t="b">
        <f>IF(D8=Data!$DG$3,Data!$CF$2,IF(D8=Data!$DG$4,Data!$CG$2,IF(D8=Data!$DG$5,Data!$CH$2)))</f>
        <v>0</v>
      </c>
      <c r="BA8" s="54" t="b">
        <f>IF(D8=Data!$DG$3,Data!$DI$2,IF(D8=Data!$DG$4,Data!$DJ$2,IF(D8=Data!$DG$5,Data!$DK$2)))</f>
        <v>0</v>
      </c>
    </row>
    <row r="9" spans="1:53" ht="36.75" customHeight="1">
      <c r="A9" s="51">
        <v>2</v>
      </c>
      <c r="B9" s="13"/>
      <c r="C9" s="17"/>
      <c r="D9" s="17"/>
      <c r="E9" s="112"/>
      <c r="F9" s="14"/>
      <c r="G9" s="14"/>
      <c r="H9" s="14"/>
      <c r="I9" s="14"/>
      <c r="J9" s="525"/>
      <c r="K9" s="526"/>
      <c r="L9" s="15"/>
      <c r="M9" s="577"/>
      <c r="N9" s="578"/>
      <c r="O9" s="13"/>
      <c r="P9" s="13"/>
      <c r="Q9" s="13"/>
      <c r="R9" s="13"/>
      <c r="S9" s="13"/>
      <c r="T9" s="87" t="str">
        <f t="shared" ref="T9:T27" si="1">IF(S9="Yes",AY9*C9, "N/A")</f>
        <v>N/A</v>
      </c>
      <c r="U9" s="596"/>
      <c r="V9" s="597"/>
      <c r="W9" s="229"/>
      <c r="X9" s="230"/>
      <c r="AB9" s="54" t="str">
        <f t="shared" ref="AB9:AB27" si="2">IF(AND(O9="Yes",Q9=""),"Enter","OK")</f>
        <v>OK</v>
      </c>
      <c r="AC9" s="33" t="str">
        <f t="shared" ref="AC9:AC27" si="3">IF(AND(O9="Yes",P9=""),"Enter","OK")</f>
        <v>OK</v>
      </c>
      <c r="AD9" s="54" t="b">
        <f>IF(O9="Yes",Data!$CU$2, IF('Vertical Blinds'!O9="No",Data!$CV$2))</f>
        <v>0</v>
      </c>
      <c r="AE9" s="33" t="str">
        <f>IF(COUNTIF($H$8:$H$27,Data!KF4),Data!KG4,"")</f>
        <v/>
      </c>
      <c r="AF9" s="33"/>
      <c r="AY9" s="54">
        <f t="shared" si="0"/>
        <v>2</v>
      </c>
      <c r="AZ9" s="54" t="b">
        <f>IF(D9=Data!$DG$3,Data!$CF$2,IF(D9=Data!$DG$4,Data!$CG$2,IF(D9=Data!$DG$5,Data!$CH$2)))</f>
        <v>0</v>
      </c>
      <c r="BA9" s="54" t="b">
        <f>IF(D9=Data!$DG$3,Data!$DI$2,IF(D9=Data!$DG$4,Data!$DJ$2,IF(D9=Data!$DG$5,Data!$DK$2)))</f>
        <v>0</v>
      </c>
    </row>
    <row r="10" spans="1:53" ht="36.75" customHeight="1">
      <c r="A10" s="52">
        <v>3</v>
      </c>
      <c r="B10" s="17"/>
      <c r="C10" s="17"/>
      <c r="D10" s="17"/>
      <c r="E10" s="112"/>
      <c r="F10" s="14"/>
      <c r="G10" s="14"/>
      <c r="H10" s="14"/>
      <c r="I10" s="14"/>
      <c r="J10" s="525"/>
      <c r="K10" s="526"/>
      <c r="L10" s="15"/>
      <c r="M10" s="577"/>
      <c r="N10" s="578"/>
      <c r="O10" s="13"/>
      <c r="P10" s="13"/>
      <c r="Q10" s="13"/>
      <c r="R10" s="13"/>
      <c r="S10" s="13"/>
      <c r="T10" s="87" t="str">
        <f t="shared" si="1"/>
        <v>N/A</v>
      </c>
      <c r="U10" s="596"/>
      <c r="V10" s="597"/>
      <c r="W10" s="229"/>
      <c r="X10" s="230"/>
      <c r="AB10" s="54" t="str">
        <f t="shared" si="2"/>
        <v>OK</v>
      </c>
      <c r="AC10" s="33" t="str">
        <f t="shared" si="3"/>
        <v>OK</v>
      </c>
      <c r="AD10" s="54" t="b">
        <f>IF(O10="Yes",Data!$CU$2, IF('Vertical Blinds'!O10="No",Data!$CV$2))</f>
        <v>0</v>
      </c>
      <c r="AE10" s="33" t="str">
        <f>IF(COUNTIF($H$8:$H$27,Data!KF5),Data!KG5,"")</f>
        <v/>
      </c>
      <c r="AF10" s="33"/>
      <c r="AY10" s="54">
        <f t="shared" si="0"/>
        <v>2</v>
      </c>
      <c r="AZ10" s="54" t="b">
        <f>IF(D10=Data!$DG$3,Data!$CF$2,IF(D10=Data!$DG$4,Data!$CG$2,IF(D10=Data!$DG$5,Data!$CH$2)))</f>
        <v>0</v>
      </c>
      <c r="BA10" s="54" t="b">
        <f>IF(D10=Data!$DG$3,Data!$DI$2,IF(D10=Data!$DG$4,Data!$DJ$2,IF(D10=Data!$DG$5,Data!$DK$2)))</f>
        <v>0</v>
      </c>
    </row>
    <row r="11" spans="1:53" ht="36.75" customHeight="1">
      <c r="A11" s="52">
        <v>4</v>
      </c>
      <c r="B11" s="17"/>
      <c r="C11" s="17"/>
      <c r="D11" s="17"/>
      <c r="E11" s="112"/>
      <c r="F11" s="14"/>
      <c r="G11" s="14"/>
      <c r="H11" s="14"/>
      <c r="I11" s="14"/>
      <c r="J11" s="525"/>
      <c r="K11" s="526"/>
      <c r="L11" s="15"/>
      <c r="M11" s="577"/>
      <c r="N11" s="578"/>
      <c r="O11" s="13"/>
      <c r="P11" s="13"/>
      <c r="Q11" s="13"/>
      <c r="R11" s="13"/>
      <c r="S11" s="13"/>
      <c r="T11" s="87" t="str">
        <f t="shared" si="1"/>
        <v>N/A</v>
      </c>
      <c r="U11" s="596"/>
      <c r="V11" s="597"/>
      <c r="W11" s="229"/>
      <c r="X11" s="230"/>
      <c r="AB11" s="54" t="str">
        <f t="shared" si="2"/>
        <v>OK</v>
      </c>
      <c r="AC11" s="33" t="str">
        <f t="shared" si="3"/>
        <v>OK</v>
      </c>
      <c r="AD11" s="54" t="b">
        <f>IF(O11="Yes",Data!$CU$2, IF('Vertical Blinds'!O11="No",Data!$CV$2))</f>
        <v>0</v>
      </c>
      <c r="AE11" s="33" t="str">
        <f>IF(COUNTIF($H$8:$H$27,Data!KF6),Data!KG6,"")</f>
        <v/>
      </c>
      <c r="AF11" s="33"/>
      <c r="AY11" s="54">
        <f t="shared" si="0"/>
        <v>2</v>
      </c>
      <c r="AZ11" s="54" t="b">
        <f>IF(D11=Data!$DG$3,Data!$CF$2,IF(D11=Data!$DG$4,Data!$CG$2,IF(D11=Data!$DG$5,Data!$CH$2)))</f>
        <v>0</v>
      </c>
      <c r="BA11" s="54" t="b">
        <f>IF(D11=Data!$DG$3,Data!$DI$2,IF(D11=Data!$DG$4,Data!$DJ$2,IF(D11=Data!$DG$5,Data!$DK$2)))</f>
        <v>0</v>
      </c>
    </row>
    <row r="12" spans="1:53" ht="36.75" customHeight="1">
      <c r="A12" s="52">
        <v>5</v>
      </c>
      <c r="B12" s="17"/>
      <c r="C12" s="17"/>
      <c r="D12" s="17"/>
      <c r="E12" s="112"/>
      <c r="F12" s="14"/>
      <c r="G12" s="14"/>
      <c r="H12" s="14"/>
      <c r="I12" s="14"/>
      <c r="J12" s="525"/>
      <c r="K12" s="526"/>
      <c r="L12" s="15"/>
      <c r="M12" s="577"/>
      <c r="N12" s="578"/>
      <c r="O12" s="13"/>
      <c r="P12" s="13"/>
      <c r="Q12" s="13"/>
      <c r="R12" s="13"/>
      <c r="S12" s="13"/>
      <c r="T12" s="87" t="str">
        <f t="shared" si="1"/>
        <v>N/A</v>
      </c>
      <c r="U12" s="596"/>
      <c r="V12" s="597"/>
      <c r="W12" s="229"/>
      <c r="X12" s="230"/>
      <c r="AB12" s="54" t="str">
        <f t="shared" si="2"/>
        <v>OK</v>
      </c>
      <c r="AC12" s="33" t="str">
        <f t="shared" si="3"/>
        <v>OK</v>
      </c>
      <c r="AD12" s="54" t="b">
        <f>IF(O12="Yes",Data!$CU$2, IF('Vertical Blinds'!O12="No",Data!$CV$2))</f>
        <v>0</v>
      </c>
      <c r="AE12" s="33" t="str">
        <f>IF(COUNTIF($H$8:$H$27,Data!KF7),Data!KG7,"")</f>
        <v/>
      </c>
      <c r="AF12" s="33"/>
      <c r="AY12" s="54">
        <f t="shared" si="0"/>
        <v>2</v>
      </c>
      <c r="AZ12" s="54" t="b">
        <f>IF(D12=Data!$DG$3,Data!$CF$2,IF(D12=Data!$DG$4,Data!$CG$2,IF(D12=Data!$DG$5,Data!$CH$2)))</f>
        <v>0</v>
      </c>
      <c r="BA12" s="54" t="b">
        <f>IF(D12=Data!$DG$3,Data!$DI$2,IF(D12=Data!$DG$4,Data!$DJ$2,IF(D12=Data!$DG$5,Data!$DK$2)))</f>
        <v>0</v>
      </c>
    </row>
    <row r="13" spans="1:53" ht="36.75" customHeight="1">
      <c r="A13" s="52">
        <v>6</v>
      </c>
      <c r="B13" s="17"/>
      <c r="C13" s="17"/>
      <c r="D13" s="17"/>
      <c r="E13" s="112"/>
      <c r="F13" s="14"/>
      <c r="G13" s="14"/>
      <c r="H13" s="14"/>
      <c r="I13" s="14"/>
      <c r="J13" s="525"/>
      <c r="K13" s="526"/>
      <c r="L13" s="15"/>
      <c r="M13" s="577"/>
      <c r="N13" s="578"/>
      <c r="O13" s="13"/>
      <c r="P13" s="13"/>
      <c r="Q13" s="13"/>
      <c r="R13" s="13"/>
      <c r="S13" s="13"/>
      <c r="T13" s="87" t="str">
        <f t="shared" si="1"/>
        <v>N/A</v>
      </c>
      <c r="U13" s="596"/>
      <c r="V13" s="597"/>
      <c r="W13" s="229"/>
      <c r="X13" s="230"/>
      <c r="AB13" s="54" t="str">
        <f t="shared" si="2"/>
        <v>OK</v>
      </c>
      <c r="AC13" s="33" t="str">
        <f t="shared" si="3"/>
        <v>OK</v>
      </c>
      <c r="AD13" s="54" t="b">
        <f>IF(O13="Yes",Data!$CU$2, IF('Vertical Blinds'!O13="No",Data!$CV$2))</f>
        <v>0</v>
      </c>
      <c r="AE13" s="33" t="str">
        <f>IF(COUNTIF($H$8:$H$27,Data!KF8),Data!KG8,"")</f>
        <v/>
      </c>
      <c r="AF13" s="33"/>
      <c r="AY13" s="54">
        <f t="shared" si="0"/>
        <v>2</v>
      </c>
      <c r="AZ13" s="54" t="b">
        <f>IF(D13=Data!$DG$3,Data!$CF$2,IF(D13=Data!$DG$4,Data!$CG$2,IF(D13=Data!$DG$5,Data!$CH$2)))</f>
        <v>0</v>
      </c>
      <c r="BA13" s="54" t="b">
        <f>IF(D13=Data!$DG$3,Data!$DI$2,IF(D13=Data!$DG$4,Data!$DJ$2,IF(D13=Data!$DG$5,Data!$DK$2)))</f>
        <v>0</v>
      </c>
    </row>
    <row r="14" spans="1:53" ht="36.75" customHeight="1">
      <c r="A14" s="52">
        <v>7</v>
      </c>
      <c r="B14" s="17"/>
      <c r="C14" s="17"/>
      <c r="D14" s="17"/>
      <c r="E14" s="112"/>
      <c r="F14" s="14"/>
      <c r="G14" s="14"/>
      <c r="H14" s="14"/>
      <c r="I14" s="14"/>
      <c r="J14" s="525"/>
      <c r="K14" s="526"/>
      <c r="L14" s="15"/>
      <c r="M14" s="577"/>
      <c r="N14" s="578"/>
      <c r="O14" s="13"/>
      <c r="P14" s="13"/>
      <c r="Q14" s="13"/>
      <c r="R14" s="13"/>
      <c r="S14" s="13"/>
      <c r="T14" s="87" t="str">
        <f t="shared" si="1"/>
        <v>N/A</v>
      </c>
      <c r="U14" s="596"/>
      <c r="V14" s="597"/>
      <c r="W14" s="229"/>
      <c r="X14" s="230"/>
      <c r="AB14" s="54" t="str">
        <f t="shared" si="2"/>
        <v>OK</v>
      </c>
      <c r="AC14" s="33" t="str">
        <f t="shared" si="3"/>
        <v>OK</v>
      </c>
      <c r="AD14" s="54" t="b">
        <f>IF(O14="Yes",Data!$CU$2, IF('Vertical Blinds'!O14="No",Data!$CV$2))</f>
        <v>0</v>
      </c>
      <c r="AE14" s="33" t="str">
        <f>IF(COUNTIF($H$8:$H$27,Data!KF9),Data!KG9,"")</f>
        <v/>
      </c>
      <c r="AF14" s="33"/>
      <c r="AY14" s="54">
        <f t="shared" si="0"/>
        <v>2</v>
      </c>
      <c r="AZ14" s="54" t="b">
        <f>IF(D14=Data!$DG$3,Data!$CF$2,IF(D14=Data!$DG$4,Data!$CG$2,IF(D14=Data!$DG$5,Data!$CH$2)))</f>
        <v>0</v>
      </c>
      <c r="BA14" s="54" t="b">
        <f>IF(D14=Data!$DG$3,Data!$DI$2,IF(D14=Data!$DG$4,Data!$DJ$2,IF(D14=Data!$DG$5,Data!$DK$2)))</f>
        <v>0</v>
      </c>
    </row>
    <row r="15" spans="1:53" ht="36.75" customHeight="1">
      <c r="A15" s="52">
        <v>8</v>
      </c>
      <c r="B15" s="17"/>
      <c r="C15" s="20"/>
      <c r="D15" s="17"/>
      <c r="E15" s="112"/>
      <c r="F15" s="14"/>
      <c r="G15" s="14"/>
      <c r="H15" s="14"/>
      <c r="I15" s="14"/>
      <c r="J15" s="525"/>
      <c r="K15" s="526"/>
      <c r="L15" s="15"/>
      <c r="M15" s="577"/>
      <c r="N15" s="578"/>
      <c r="O15" s="13"/>
      <c r="P15" s="13"/>
      <c r="Q15" s="13"/>
      <c r="R15" s="13"/>
      <c r="S15" s="13"/>
      <c r="T15" s="87" t="str">
        <f t="shared" si="1"/>
        <v>N/A</v>
      </c>
      <c r="U15" s="596"/>
      <c r="V15" s="597"/>
      <c r="W15" s="229"/>
      <c r="X15" s="230"/>
      <c r="AB15" s="54" t="str">
        <f t="shared" si="2"/>
        <v>OK</v>
      </c>
      <c r="AC15" s="33" t="str">
        <f t="shared" si="3"/>
        <v>OK</v>
      </c>
      <c r="AD15" s="54" t="b">
        <f>IF(O15="Yes",Data!$CU$2, IF('Vertical Blinds'!O15="No",Data!$CV$2))</f>
        <v>0</v>
      </c>
      <c r="AE15" s="33" t="str">
        <f>IF(COUNTIF(AE8:AE14,Data!KG6),Data!KH6,"")</f>
        <v/>
      </c>
      <c r="AF15" s="33"/>
      <c r="AY15" s="54">
        <f t="shared" si="0"/>
        <v>2</v>
      </c>
      <c r="AZ15" s="54" t="b">
        <f>IF(D15=Data!$DG$3,Data!$CF$2,IF(D15=Data!$DG$4,Data!$CG$2,IF(D15=Data!$DG$5,Data!$CH$2)))</f>
        <v>0</v>
      </c>
      <c r="BA15" s="54" t="b">
        <f>IF(D15=Data!$DG$3,Data!$DI$2,IF(D15=Data!$DG$4,Data!$DJ$2,IF(D15=Data!$DG$5,Data!$DK$2)))</f>
        <v>0</v>
      </c>
    </row>
    <row r="16" spans="1:53" ht="36.75" customHeight="1">
      <c r="A16" s="52">
        <v>9</v>
      </c>
      <c r="B16" s="17"/>
      <c r="C16" s="17"/>
      <c r="D16" s="17"/>
      <c r="E16" s="112"/>
      <c r="F16" s="14"/>
      <c r="G16" s="14"/>
      <c r="H16" s="14"/>
      <c r="I16" s="14"/>
      <c r="J16" s="525"/>
      <c r="K16" s="526"/>
      <c r="L16" s="15"/>
      <c r="M16" s="577"/>
      <c r="N16" s="578"/>
      <c r="O16" s="13"/>
      <c r="P16" s="13"/>
      <c r="Q16" s="13"/>
      <c r="R16" s="13"/>
      <c r="S16" s="13"/>
      <c r="T16" s="87" t="str">
        <f t="shared" si="1"/>
        <v>N/A</v>
      </c>
      <c r="U16" s="596"/>
      <c r="V16" s="597"/>
      <c r="W16" s="229"/>
      <c r="X16" s="230"/>
      <c r="AB16" s="54" t="str">
        <f t="shared" si="2"/>
        <v>OK</v>
      </c>
      <c r="AC16" s="33" t="str">
        <f t="shared" si="3"/>
        <v>OK</v>
      </c>
      <c r="AD16" s="54" t="b">
        <f>IF(O16="Yes",Data!$CU$2, IF('Vertical Blinds'!O16="No",Data!$CV$2))</f>
        <v>0</v>
      </c>
      <c r="AE16" s="33" t="str">
        <f>IF(COUNTIF(AE8:AE14,Data!KG7),Data!KH7,"")</f>
        <v/>
      </c>
      <c r="AF16" s="33"/>
      <c r="AY16" s="54">
        <f t="shared" si="0"/>
        <v>2</v>
      </c>
      <c r="AZ16" s="54" t="b">
        <f>IF(D16=Data!$DG$3,Data!$CF$2,IF(D16=Data!$DG$4,Data!$CG$2,IF(D16=Data!$DG$5,Data!$CH$2)))</f>
        <v>0</v>
      </c>
      <c r="BA16" s="54" t="b">
        <f>IF(D16=Data!$DG$3,Data!$DI$2,IF(D16=Data!$DG$4,Data!$DJ$2,IF(D16=Data!$DG$5,Data!$DK$2)))</f>
        <v>0</v>
      </c>
    </row>
    <row r="17" spans="1:53" ht="36.75" customHeight="1">
      <c r="A17" s="52">
        <v>10</v>
      </c>
      <c r="B17" s="17"/>
      <c r="C17" s="17"/>
      <c r="D17" s="17"/>
      <c r="E17" s="112"/>
      <c r="F17" s="14"/>
      <c r="G17" s="14"/>
      <c r="H17" s="14"/>
      <c r="I17" s="14"/>
      <c r="J17" s="525"/>
      <c r="K17" s="526"/>
      <c r="L17" s="15"/>
      <c r="M17" s="577"/>
      <c r="N17" s="578"/>
      <c r="O17" s="13"/>
      <c r="P17" s="13"/>
      <c r="Q17" s="13"/>
      <c r="R17" s="13"/>
      <c r="S17" s="13"/>
      <c r="T17" s="87" t="str">
        <f t="shared" si="1"/>
        <v>N/A</v>
      </c>
      <c r="U17" s="596"/>
      <c r="V17" s="597"/>
      <c r="W17" s="229"/>
      <c r="X17" s="230"/>
      <c r="AB17" s="54" t="str">
        <f t="shared" si="2"/>
        <v>OK</v>
      </c>
      <c r="AC17" s="33" t="str">
        <f t="shared" si="3"/>
        <v>OK</v>
      </c>
      <c r="AD17" s="54" t="b">
        <f>IF(O17="Yes",Data!$CU$2, IF('Vertical Blinds'!O17="No",Data!$CV$2))</f>
        <v>0</v>
      </c>
      <c r="AE17" s="33" t="str">
        <f>AE15&amp;" &amp; "&amp;AE16&amp;""</f>
        <v xml:space="preserve"> &amp; </v>
      </c>
      <c r="AF17" s="33"/>
      <c r="AY17" s="54">
        <f t="shared" si="0"/>
        <v>2</v>
      </c>
      <c r="AZ17" s="54" t="b">
        <f>IF(D17=Data!$DG$3,Data!$CF$2,IF(D17=Data!$DG$4,Data!$CG$2,IF(D17=Data!$DG$5,Data!$CH$2)))</f>
        <v>0</v>
      </c>
      <c r="BA17" s="54" t="b">
        <f>IF(D17=Data!$DG$3,Data!$DI$2,IF(D17=Data!$DG$4,Data!$DJ$2,IF(D17=Data!$DG$5,Data!$DK$2)))</f>
        <v>0</v>
      </c>
    </row>
    <row r="18" spans="1:53" ht="36.75" customHeight="1">
      <c r="A18" s="52">
        <v>11</v>
      </c>
      <c r="B18" s="17"/>
      <c r="C18" s="17"/>
      <c r="D18" s="17"/>
      <c r="E18" s="112"/>
      <c r="F18" s="14"/>
      <c r="G18" s="14"/>
      <c r="H18" s="14"/>
      <c r="I18" s="14"/>
      <c r="J18" s="525"/>
      <c r="K18" s="526"/>
      <c r="L18" s="15"/>
      <c r="M18" s="577"/>
      <c r="N18" s="578"/>
      <c r="O18" s="13"/>
      <c r="P18" s="13"/>
      <c r="Q18" s="13"/>
      <c r="R18" s="13"/>
      <c r="S18" s="13"/>
      <c r="T18" s="87" t="str">
        <f t="shared" si="1"/>
        <v>N/A</v>
      </c>
      <c r="U18" s="596"/>
      <c r="V18" s="597"/>
      <c r="W18" s="229"/>
      <c r="X18" s="230"/>
      <c r="AB18" s="54" t="str">
        <f t="shared" si="2"/>
        <v>OK</v>
      </c>
      <c r="AC18" s="33" t="str">
        <f t="shared" si="3"/>
        <v>OK</v>
      </c>
      <c r="AD18" s="54" t="b">
        <f>IF(O18="Yes",Data!$CU$2, IF('Vertical Blinds'!O18="No",Data!$CV$2))</f>
        <v>0</v>
      </c>
      <c r="AE18" s="33" t="str">
        <f>IF(AE17="Corner &amp; Bay","Corner &amp; Bay Window Diagram Must Be Supplied",IF(AE15="Corner","Corner Window Diagram Must Be Supplied",IF(AE16="Bay","Bay Window Diagram Must Be Supplied","")))</f>
        <v/>
      </c>
      <c r="AF18" s="33"/>
      <c r="AY18" s="54">
        <f t="shared" si="0"/>
        <v>2</v>
      </c>
      <c r="AZ18" s="54" t="b">
        <f>IF(D18=Data!$DG$3,Data!$CF$2,IF(D18=Data!$DG$4,Data!$CG$2,IF(D18=Data!$DG$5,Data!$CH$2)))</f>
        <v>0</v>
      </c>
      <c r="BA18" s="54" t="b">
        <f>IF(D18=Data!$DG$3,Data!$DI$2,IF(D18=Data!$DG$4,Data!$DJ$2,IF(D18=Data!$DG$5,Data!$DK$2)))</f>
        <v>0</v>
      </c>
    </row>
    <row r="19" spans="1:53" ht="36.75" customHeight="1">
      <c r="A19" s="52">
        <v>12</v>
      </c>
      <c r="B19" s="17"/>
      <c r="C19" s="17"/>
      <c r="D19" s="17"/>
      <c r="E19" s="112"/>
      <c r="F19" s="14"/>
      <c r="G19" s="14"/>
      <c r="H19" s="14"/>
      <c r="I19" s="14"/>
      <c r="J19" s="525"/>
      <c r="K19" s="526"/>
      <c r="L19" s="15"/>
      <c r="M19" s="577"/>
      <c r="N19" s="578"/>
      <c r="O19" s="13"/>
      <c r="P19" s="13"/>
      <c r="Q19" s="13"/>
      <c r="R19" s="13"/>
      <c r="S19" s="13"/>
      <c r="T19" s="87" t="str">
        <f t="shared" si="1"/>
        <v>N/A</v>
      </c>
      <c r="U19" s="596"/>
      <c r="V19" s="597"/>
      <c r="W19" s="229"/>
      <c r="X19" s="230"/>
      <c r="AB19" s="54" t="str">
        <f t="shared" si="2"/>
        <v>OK</v>
      </c>
      <c r="AC19" s="33" t="str">
        <f t="shared" si="3"/>
        <v>OK</v>
      </c>
      <c r="AD19" s="54" t="b">
        <f>IF(O19="Yes",Data!$CU$2, IF('Vertical Blinds'!O19="No",Data!$CV$2))</f>
        <v>0</v>
      </c>
      <c r="AY19" s="54">
        <f t="shared" si="0"/>
        <v>2</v>
      </c>
      <c r="AZ19" s="54" t="b">
        <f>IF(D19=Data!$DG$3,Data!$CF$2,IF(D19=Data!$DG$4,Data!$CG$2,IF(D19=Data!$DG$5,Data!$CH$2)))</f>
        <v>0</v>
      </c>
      <c r="BA19" s="54" t="b">
        <f>IF(D19=Data!$DG$3,Data!$DI$2,IF(D19=Data!$DG$4,Data!$DJ$2,IF(D19=Data!$DG$5,Data!$DK$2)))</f>
        <v>0</v>
      </c>
    </row>
    <row r="20" spans="1:53" ht="36.75" customHeight="1">
      <c r="A20" s="52">
        <v>13</v>
      </c>
      <c r="B20" s="17"/>
      <c r="C20" s="17"/>
      <c r="D20" s="17"/>
      <c r="E20" s="112"/>
      <c r="F20" s="14"/>
      <c r="G20" s="14"/>
      <c r="H20" s="14"/>
      <c r="I20" s="14"/>
      <c r="J20" s="525"/>
      <c r="K20" s="526"/>
      <c r="L20" s="15"/>
      <c r="M20" s="577"/>
      <c r="N20" s="578"/>
      <c r="O20" s="13"/>
      <c r="P20" s="13"/>
      <c r="Q20" s="13"/>
      <c r="R20" s="13"/>
      <c r="S20" s="13"/>
      <c r="T20" s="87" t="str">
        <f t="shared" si="1"/>
        <v>N/A</v>
      </c>
      <c r="U20" s="596"/>
      <c r="V20" s="597"/>
      <c r="W20" s="229"/>
      <c r="X20" s="230"/>
      <c r="AB20" s="54" t="str">
        <f t="shared" si="2"/>
        <v>OK</v>
      </c>
      <c r="AC20" s="33" t="str">
        <f t="shared" si="3"/>
        <v>OK</v>
      </c>
      <c r="AD20" s="54" t="b">
        <f>IF(O20="Yes",Data!$CU$2, IF('Vertical Blinds'!O20="No",Data!$CV$2))</f>
        <v>0</v>
      </c>
      <c r="AY20" s="54">
        <f t="shared" si="0"/>
        <v>2</v>
      </c>
      <c r="AZ20" s="54" t="b">
        <f>IF(D20=Data!$DG$3,Data!$CF$2,IF(D20=Data!$DG$4,Data!$CG$2,IF(D20=Data!$DG$5,Data!$CH$2)))</f>
        <v>0</v>
      </c>
      <c r="BA20" s="54" t="b">
        <f>IF(D20=Data!$DG$3,Data!$DI$2,IF(D20=Data!$DG$4,Data!$DJ$2,IF(D20=Data!$DG$5,Data!$DK$2)))</f>
        <v>0</v>
      </c>
    </row>
    <row r="21" spans="1:53" ht="36.75" customHeight="1">
      <c r="A21" s="52">
        <v>14</v>
      </c>
      <c r="B21" s="17"/>
      <c r="C21" s="17"/>
      <c r="D21" s="17"/>
      <c r="E21" s="112"/>
      <c r="F21" s="14"/>
      <c r="G21" s="14"/>
      <c r="H21" s="14"/>
      <c r="I21" s="14"/>
      <c r="J21" s="525"/>
      <c r="K21" s="526"/>
      <c r="L21" s="15"/>
      <c r="M21" s="577"/>
      <c r="N21" s="578"/>
      <c r="O21" s="13"/>
      <c r="P21" s="13"/>
      <c r="Q21" s="13"/>
      <c r="R21" s="13"/>
      <c r="S21" s="13"/>
      <c r="T21" s="87" t="str">
        <f t="shared" si="1"/>
        <v>N/A</v>
      </c>
      <c r="U21" s="596"/>
      <c r="V21" s="597"/>
      <c r="W21" s="229"/>
      <c r="X21" s="230"/>
      <c r="AB21" s="54" t="str">
        <f t="shared" si="2"/>
        <v>OK</v>
      </c>
      <c r="AC21" s="33" t="str">
        <f t="shared" si="3"/>
        <v>OK</v>
      </c>
      <c r="AD21" s="54" t="b">
        <f>IF(O21="Yes",Data!$CU$2, IF('Vertical Blinds'!O21="No",Data!$CV$2))</f>
        <v>0</v>
      </c>
      <c r="AY21" s="54">
        <f t="shared" si="0"/>
        <v>2</v>
      </c>
      <c r="AZ21" s="54" t="b">
        <f>IF(D21=Data!$DG$3,Data!$CF$2,IF(D21=Data!$DG$4,Data!$CG$2,IF(D21=Data!$DG$5,Data!$CH$2)))</f>
        <v>0</v>
      </c>
      <c r="BA21" s="54" t="b">
        <f>IF(D21=Data!$DG$3,Data!$DI$2,IF(D21=Data!$DG$4,Data!$DJ$2,IF(D21=Data!$DG$5,Data!$DK$2)))</f>
        <v>0</v>
      </c>
    </row>
    <row r="22" spans="1:53" ht="36.75" customHeight="1">
      <c r="A22" s="52">
        <v>15</v>
      </c>
      <c r="B22" s="17"/>
      <c r="C22" s="17"/>
      <c r="D22" s="17"/>
      <c r="E22" s="112"/>
      <c r="F22" s="14"/>
      <c r="G22" s="14"/>
      <c r="H22" s="14"/>
      <c r="I22" s="14"/>
      <c r="J22" s="525"/>
      <c r="K22" s="526"/>
      <c r="L22" s="15"/>
      <c r="M22" s="577"/>
      <c r="N22" s="578"/>
      <c r="O22" s="13"/>
      <c r="P22" s="13"/>
      <c r="Q22" s="13"/>
      <c r="R22" s="13"/>
      <c r="S22" s="13"/>
      <c r="T22" s="87" t="str">
        <f t="shared" si="1"/>
        <v>N/A</v>
      </c>
      <c r="U22" s="596"/>
      <c r="V22" s="597"/>
      <c r="W22" s="229"/>
      <c r="X22" s="230"/>
      <c r="AB22" s="54" t="str">
        <f t="shared" si="2"/>
        <v>OK</v>
      </c>
      <c r="AC22" s="33" t="str">
        <f t="shared" si="3"/>
        <v>OK</v>
      </c>
      <c r="AD22" s="54" t="b">
        <f>IF(O22="Yes",Data!$CU$2, IF('Vertical Blinds'!O22="No",Data!$CV$2))</f>
        <v>0</v>
      </c>
      <c r="AY22" s="54">
        <f t="shared" si="0"/>
        <v>2</v>
      </c>
      <c r="AZ22" s="54" t="b">
        <f>IF(D22=Data!$DG$3,Data!$CF$2,IF(D22=Data!$DG$4,Data!$CG$2,IF(D22=Data!$DG$5,Data!$CH$2)))</f>
        <v>0</v>
      </c>
      <c r="BA22" s="54" t="b">
        <f>IF(D22=Data!$DG$3,Data!$DI$2,IF(D22=Data!$DG$4,Data!$DJ$2,IF(D22=Data!$DG$5,Data!$DK$2)))</f>
        <v>0</v>
      </c>
    </row>
    <row r="23" spans="1:53" ht="36.75" customHeight="1">
      <c r="A23" s="52">
        <v>16</v>
      </c>
      <c r="B23" s="17"/>
      <c r="C23" s="17"/>
      <c r="D23" s="17"/>
      <c r="E23" s="112"/>
      <c r="F23" s="14"/>
      <c r="G23" s="14"/>
      <c r="H23" s="14"/>
      <c r="I23" s="14"/>
      <c r="J23" s="525"/>
      <c r="K23" s="526"/>
      <c r="L23" s="15"/>
      <c r="M23" s="577"/>
      <c r="N23" s="578"/>
      <c r="O23" s="13"/>
      <c r="P23" s="13"/>
      <c r="Q23" s="13"/>
      <c r="R23" s="13"/>
      <c r="S23" s="13"/>
      <c r="T23" s="87" t="str">
        <f t="shared" si="1"/>
        <v>N/A</v>
      </c>
      <c r="U23" s="596"/>
      <c r="V23" s="597"/>
      <c r="W23" s="229"/>
      <c r="X23" s="230"/>
      <c r="AB23" s="54" t="str">
        <f t="shared" si="2"/>
        <v>OK</v>
      </c>
      <c r="AC23" s="33" t="str">
        <f t="shared" si="3"/>
        <v>OK</v>
      </c>
      <c r="AD23" s="54" t="b">
        <f>IF(O23="Yes",Data!$CU$2, IF('Vertical Blinds'!O23="No",Data!$CV$2))</f>
        <v>0</v>
      </c>
      <c r="AY23" s="54">
        <f t="shared" si="0"/>
        <v>2</v>
      </c>
      <c r="AZ23" s="54" t="b">
        <f>IF(D23=Data!$DG$3,Data!$CF$2,IF(D23=Data!$DG$4,Data!$CG$2,IF(D23=Data!$DG$5,Data!$CH$2)))</f>
        <v>0</v>
      </c>
      <c r="BA23" s="54" t="b">
        <f>IF(D23=Data!$DG$3,Data!$DI$2,IF(D23=Data!$DG$4,Data!$DJ$2,IF(D23=Data!$DG$5,Data!$DK$2)))</f>
        <v>0</v>
      </c>
    </row>
    <row r="24" spans="1:53" ht="36.75" customHeight="1">
      <c r="A24" s="52">
        <v>17</v>
      </c>
      <c r="B24" s="17"/>
      <c r="C24" s="20"/>
      <c r="D24" s="17"/>
      <c r="E24" s="112"/>
      <c r="F24" s="14"/>
      <c r="G24" s="14"/>
      <c r="H24" s="14"/>
      <c r="I24" s="14"/>
      <c r="J24" s="525"/>
      <c r="K24" s="526"/>
      <c r="L24" s="15"/>
      <c r="M24" s="577"/>
      <c r="N24" s="578"/>
      <c r="O24" s="13"/>
      <c r="P24" s="13"/>
      <c r="Q24" s="13"/>
      <c r="R24" s="13"/>
      <c r="S24" s="13"/>
      <c r="T24" s="87" t="str">
        <f t="shared" si="1"/>
        <v>N/A</v>
      </c>
      <c r="U24" s="596"/>
      <c r="V24" s="597"/>
      <c r="W24" s="229"/>
      <c r="X24" s="230"/>
      <c r="AB24" s="54" t="str">
        <f t="shared" si="2"/>
        <v>OK</v>
      </c>
      <c r="AC24" s="33" t="str">
        <f t="shared" si="3"/>
        <v>OK</v>
      </c>
      <c r="AD24" s="54" t="b">
        <f>IF(O24="Yes",Data!$CU$2, IF('Vertical Blinds'!O24="No",Data!$CV$2))</f>
        <v>0</v>
      </c>
      <c r="AY24" s="54">
        <f t="shared" si="0"/>
        <v>2</v>
      </c>
      <c r="AZ24" s="54" t="b">
        <f>IF(D24=Data!$DG$3,Data!$CF$2,IF(D24=Data!$DG$4,Data!$CG$2,IF(D24=Data!$DG$5,Data!$CH$2)))</f>
        <v>0</v>
      </c>
      <c r="BA24" s="54" t="b">
        <f>IF(D24=Data!$DG$3,Data!$DI$2,IF(D24=Data!$DG$4,Data!$DJ$2,IF(D24=Data!$DG$5,Data!$DK$2)))</f>
        <v>0</v>
      </c>
    </row>
    <row r="25" spans="1:53" ht="36.75" customHeight="1">
      <c r="A25" s="52">
        <v>18</v>
      </c>
      <c r="B25" s="17"/>
      <c r="C25" s="17"/>
      <c r="D25" s="17"/>
      <c r="E25" s="112"/>
      <c r="F25" s="14"/>
      <c r="G25" s="14"/>
      <c r="H25" s="14"/>
      <c r="I25" s="14"/>
      <c r="J25" s="525"/>
      <c r="K25" s="526"/>
      <c r="L25" s="15"/>
      <c r="M25" s="577"/>
      <c r="N25" s="578"/>
      <c r="O25" s="13"/>
      <c r="P25" s="13"/>
      <c r="Q25" s="13"/>
      <c r="R25" s="13"/>
      <c r="S25" s="13"/>
      <c r="T25" s="87" t="str">
        <f t="shared" si="1"/>
        <v>N/A</v>
      </c>
      <c r="U25" s="596"/>
      <c r="V25" s="597"/>
      <c r="W25" s="229"/>
      <c r="X25" s="230"/>
      <c r="AB25" s="54" t="str">
        <f t="shared" si="2"/>
        <v>OK</v>
      </c>
      <c r="AC25" s="33" t="str">
        <f t="shared" si="3"/>
        <v>OK</v>
      </c>
      <c r="AD25" s="54" t="b">
        <f>IF(O25="Yes",Data!$CU$2, IF('Vertical Blinds'!O25="No",Data!$CV$2))</f>
        <v>0</v>
      </c>
      <c r="AY25" s="54">
        <f t="shared" si="0"/>
        <v>2</v>
      </c>
      <c r="AZ25" s="54" t="b">
        <f>IF(D25=Data!$DG$3,Data!$CF$2,IF(D25=Data!$DG$4,Data!$CG$2,IF(D25=Data!$DG$5,Data!$CH$2)))</f>
        <v>0</v>
      </c>
      <c r="BA25" s="54" t="b">
        <f>IF(D25=Data!$DG$3,Data!$DI$2,IF(D25=Data!$DG$4,Data!$DJ$2,IF(D25=Data!$DG$5,Data!$DK$2)))</f>
        <v>0</v>
      </c>
    </row>
    <row r="26" spans="1:53" ht="36.75" customHeight="1">
      <c r="A26" s="52">
        <v>19</v>
      </c>
      <c r="B26" s="17"/>
      <c r="C26" s="17"/>
      <c r="D26" s="17"/>
      <c r="E26" s="112"/>
      <c r="F26" s="14"/>
      <c r="G26" s="14"/>
      <c r="H26" s="14"/>
      <c r="I26" s="14"/>
      <c r="J26" s="525"/>
      <c r="K26" s="526"/>
      <c r="L26" s="15"/>
      <c r="M26" s="577"/>
      <c r="N26" s="578"/>
      <c r="O26" s="13"/>
      <c r="P26" s="13"/>
      <c r="Q26" s="13"/>
      <c r="R26" s="13"/>
      <c r="S26" s="13"/>
      <c r="T26" s="87" t="str">
        <f t="shared" si="1"/>
        <v>N/A</v>
      </c>
      <c r="U26" s="596"/>
      <c r="V26" s="597"/>
      <c r="W26" s="229"/>
      <c r="X26" s="230"/>
      <c r="AB26" s="54" t="str">
        <f t="shared" si="2"/>
        <v>OK</v>
      </c>
      <c r="AC26" s="33" t="str">
        <f t="shared" si="3"/>
        <v>OK</v>
      </c>
      <c r="AD26" s="54" t="b">
        <f>IF(O26="Yes",Data!$CU$2, IF('Vertical Blinds'!O26="No",Data!$CV$2))</f>
        <v>0</v>
      </c>
      <c r="AY26" s="54">
        <f t="shared" si="0"/>
        <v>2</v>
      </c>
      <c r="AZ26" s="54" t="b">
        <f>IF(D26=Data!$DG$3,Data!$CF$2,IF(D26=Data!$DG$4,Data!$CG$2,IF(D26=Data!$DG$5,Data!$CH$2)))</f>
        <v>0</v>
      </c>
      <c r="BA26" s="54" t="b">
        <f>IF(D26=Data!$DG$3,Data!$DI$2,IF(D26=Data!$DG$4,Data!$DJ$2,IF(D26=Data!$DG$5,Data!$DK$2)))</f>
        <v>0</v>
      </c>
    </row>
    <row r="27" spans="1:53" ht="36.75" customHeight="1" thickBot="1">
      <c r="A27" s="53">
        <v>20</v>
      </c>
      <c r="B27" s="21"/>
      <c r="C27" s="94"/>
      <c r="D27" s="21"/>
      <c r="E27" s="111"/>
      <c r="F27" s="22"/>
      <c r="G27" s="22"/>
      <c r="H27" s="22"/>
      <c r="I27" s="22"/>
      <c r="J27" s="528"/>
      <c r="K27" s="529"/>
      <c r="L27" s="44"/>
      <c r="M27" s="591"/>
      <c r="N27" s="592"/>
      <c r="O27" s="21"/>
      <c r="P27" s="21"/>
      <c r="Q27" s="21"/>
      <c r="R27" s="21"/>
      <c r="S27" s="21"/>
      <c r="T27" s="88" t="str">
        <f t="shared" si="1"/>
        <v>N/A</v>
      </c>
      <c r="U27" s="603"/>
      <c r="V27" s="604"/>
      <c r="W27" s="229"/>
      <c r="X27" s="230"/>
      <c r="AB27" s="54" t="str">
        <f t="shared" si="2"/>
        <v>OK</v>
      </c>
      <c r="AC27" s="33" t="str">
        <f t="shared" si="3"/>
        <v>OK</v>
      </c>
      <c r="AD27" s="54" t="b">
        <f>IF(O27="Yes",Data!$CU$2, IF('Vertical Blinds'!O27="No",Data!$CV$2))</f>
        <v>0</v>
      </c>
      <c r="AY27" s="54">
        <f t="shared" si="0"/>
        <v>2</v>
      </c>
      <c r="AZ27" s="54" t="b">
        <f>IF(D27=Data!$DG$3,Data!$CF$2,IF(D27=Data!$DG$4,Data!$CG$2,IF(D27=Data!$DG$5,Data!$CH$2)))</f>
        <v>0</v>
      </c>
      <c r="BA27" s="54" t="b">
        <f>IF(D27=Data!$DG$3,Data!$DI$2,IF(D27=Data!$DG$4,Data!$DJ$2,IF(D27=Data!$DG$5,Data!$DK$2)))</f>
        <v>0</v>
      </c>
    </row>
    <row r="28" spans="1:53" ht="15.75" thickTop="1"/>
  </sheetData>
  <sheetProtection password="A0FF" sheet="1" objects="1" scenarios="1"/>
  <mergeCells count="80">
    <mergeCell ref="U9:V9"/>
    <mergeCell ref="U13:V13"/>
    <mergeCell ref="U27:V27"/>
    <mergeCell ref="U26:V26"/>
    <mergeCell ref="U25:V25"/>
    <mergeCell ref="U24:V24"/>
    <mergeCell ref="U23:V23"/>
    <mergeCell ref="U22:V22"/>
    <mergeCell ref="U21:V21"/>
    <mergeCell ref="U10:V10"/>
    <mergeCell ref="U11:V11"/>
    <mergeCell ref="U12:V12"/>
    <mergeCell ref="U16:V16"/>
    <mergeCell ref="U17:V17"/>
    <mergeCell ref="U18:V18"/>
    <mergeCell ref="U19:V19"/>
    <mergeCell ref="U20:V20"/>
    <mergeCell ref="U14:V14"/>
    <mergeCell ref="U15:V15"/>
    <mergeCell ref="A4:C4"/>
    <mergeCell ref="M7:N7"/>
    <mergeCell ref="J8:K8"/>
    <mergeCell ref="M8:N8"/>
    <mergeCell ref="L4:M4"/>
    <mergeCell ref="L5:M5"/>
    <mergeCell ref="N5:U5"/>
    <mergeCell ref="L6:M6"/>
    <mergeCell ref="N6:U6"/>
    <mergeCell ref="U7:V7"/>
    <mergeCell ref="U8:V8"/>
    <mergeCell ref="N4:U4"/>
    <mergeCell ref="J11:K11"/>
    <mergeCell ref="M11:N11"/>
    <mergeCell ref="J12:K12"/>
    <mergeCell ref="M12:N12"/>
    <mergeCell ref="J9:K9"/>
    <mergeCell ref="M9:N9"/>
    <mergeCell ref="J10:K10"/>
    <mergeCell ref="M10:N10"/>
    <mergeCell ref="F2:J2"/>
    <mergeCell ref="D4:E4"/>
    <mergeCell ref="F4:G4"/>
    <mergeCell ref="J7:K7"/>
    <mergeCell ref="H4:J4"/>
    <mergeCell ref="J16:K16"/>
    <mergeCell ref="M16:N16"/>
    <mergeCell ref="J17:K17"/>
    <mergeCell ref="J13:K13"/>
    <mergeCell ref="M13:N13"/>
    <mergeCell ref="M17:N17"/>
    <mergeCell ref="J14:K14"/>
    <mergeCell ref="M14:N14"/>
    <mergeCell ref="J15:K15"/>
    <mergeCell ref="M15:N15"/>
    <mergeCell ref="M18:N18"/>
    <mergeCell ref="M22:N22"/>
    <mergeCell ref="J19:K19"/>
    <mergeCell ref="M19:N19"/>
    <mergeCell ref="J20:K20"/>
    <mergeCell ref="M20:N20"/>
    <mergeCell ref="J18:K18"/>
    <mergeCell ref="J27:K27"/>
    <mergeCell ref="M27:N27"/>
    <mergeCell ref="J25:K25"/>
    <mergeCell ref="M25:N25"/>
    <mergeCell ref="J26:K26"/>
    <mergeCell ref="M26:N26"/>
    <mergeCell ref="J23:K23"/>
    <mergeCell ref="M23:N23"/>
    <mergeCell ref="J24:K24"/>
    <mergeCell ref="M24:N24"/>
    <mergeCell ref="J21:K21"/>
    <mergeCell ref="M21:N21"/>
    <mergeCell ref="J22:K22"/>
    <mergeCell ref="L1:M1"/>
    <mergeCell ref="L2:M2"/>
    <mergeCell ref="L3:M3"/>
    <mergeCell ref="N1:U1"/>
    <mergeCell ref="N2:U2"/>
    <mergeCell ref="N3:U3"/>
  </mergeCells>
  <conditionalFormatting sqref="C8:C27">
    <cfRule type="cellIs" dxfId="89" priority="9" stopIfTrue="1" operator="greaterThan">
      <formula>1</formula>
    </cfRule>
  </conditionalFormatting>
  <conditionalFormatting sqref="O8:O27 S8:S27">
    <cfRule type="containsText" dxfId="88" priority="8" stopIfTrue="1" operator="containsText" text="Yes">
      <formula>NOT(ISERROR(SEARCH("Yes",O8)))</formula>
    </cfRule>
  </conditionalFormatting>
  <conditionalFormatting sqref="T8:T27">
    <cfRule type="expression" dxfId="87" priority="7" stopIfTrue="1">
      <formula>S8=""</formula>
    </cfRule>
  </conditionalFormatting>
  <conditionalFormatting sqref="T8:T27">
    <cfRule type="expression" dxfId="86" priority="6" stopIfTrue="1">
      <formula>S8=""</formula>
    </cfRule>
  </conditionalFormatting>
  <conditionalFormatting sqref="P8:P27">
    <cfRule type="expression" dxfId="85" priority="4">
      <formula>AC8="Enter"</formula>
    </cfRule>
  </conditionalFormatting>
  <conditionalFormatting sqref="P8:P27">
    <cfRule type="expression" dxfId="84" priority="3">
      <formula>INDIRECT(AD8)</formula>
    </cfRule>
  </conditionalFormatting>
  <conditionalFormatting sqref="N6:U6">
    <cfRule type="notContainsBlanks" dxfId="83" priority="2">
      <formula>LEN(TRIM(N6))&gt;0</formula>
    </cfRule>
  </conditionalFormatting>
  <conditionalFormatting sqref="Q8:Q27">
    <cfRule type="expression" dxfId="82" priority="1">
      <formula>AB8="Enter"</formula>
    </cfRule>
  </conditionalFormatting>
  <dataValidations count="16">
    <dataValidation type="list" allowBlank="1" showInputMessage="1" showErrorMessage="1" errorTitle="Invalid Entry" error="Invalid Entry" sqref="P8:P27" xr:uid="{00000000-0002-0000-0500-000000000000}">
      <formula1>INDIRECT(AD8)</formula1>
    </dataValidation>
    <dataValidation type="list" allowBlank="1" showInputMessage="1" showErrorMessage="1" errorTitle="Invalid Entry" error="Invalid Entry" sqref="R8:R27" xr:uid="{00000000-0002-0000-0500-000001000000}">
      <formula1>INDIRECT(AZ8)</formula1>
    </dataValidation>
    <dataValidation type="list" allowBlank="1" showInputMessage="1" showErrorMessage="1" errorTitle="Invalid Entry" error="Invalid Entry" sqref="E8:E27" xr:uid="{00000000-0002-0000-0500-000002000000}">
      <formula1>INDIRECT(BA8)</formula1>
    </dataValidation>
    <dataValidation type="list" allowBlank="1" showInputMessage="1" showErrorMessage="1" errorTitle="Invalid Entry" error="Please select from List!" sqref="O8:O27 Q8:Q27" xr:uid="{00000000-0002-0000-0500-000003000000}">
      <formula1>"Yes, No"</formula1>
    </dataValidation>
    <dataValidation type="list" showDropDown="1" showInputMessage="1" errorTitle="Invalid Enrty" error="Please select from List!" sqref="U8:U27" xr:uid="{00000000-0002-0000-0500-000004000000}">
      <formula1>"Standard, Combo (Same Side), Combo (2 Side)"</formula1>
    </dataValidation>
    <dataValidation allowBlank="1" errorTitle="Invalid Entry" error="Invalid Entry" sqref="T8:T27" xr:uid="{00000000-0002-0000-0500-000005000000}"/>
    <dataValidation type="list" allowBlank="1" showInputMessage="1" showErrorMessage="1" errorTitle="Invalid Entry" error="Invalid Entry" sqref="S8:S27" xr:uid="{00000000-0002-0000-0500-000006000000}">
      <formula1>"No, Yes"</formula1>
    </dataValidation>
    <dataValidation type="list" allowBlank="1" showInputMessage="1" showErrorMessage="1" errorTitle="Invalid Entry" error="Invalid Entry" sqref="M8:N27" xr:uid="{00000000-0002-0000-0500-000007000000}">
      <formula1>"One Way-Right, One Way-Left, Centre Open, Centre Bunch"</formula1>
    </dataValidation>
    <dataValidation type="list" allowBlank="1" showInputMessage="1" showErrorMessage="1" errorTitle="Invalid Entry" error="Invalid Entry" sqref="L8:L27" xr:uid="{00000000-0002-0000-0500-000008000000}">
      <formula1>VerticalTrack</formula1>
    </dataValidation>
    <dataValidation type="list" errorStyle="warning" allowBlank="1" showInputMessage="1" showErrorMessage="1" errorTitle="Invalid Entry" error="This is not a standard colour._x000a_Please select from List!" sqref="J8:K27" xr:uid="{00000000-0002-0000-0500-000009000000}">
      <formula1>"NAM, ACT"</formula1>
    </dataValidation>
    <dataValidation type="list" allowBlank="1" showInputMessage="1" showErrorMessage="1" sqref="I8:I27" xr:uid="{00000000-0002-0000-0500-00000A000000}">
      <formula1>"Face Fit, Recess Fit"</formula1>
    </dataValidation>
    <dataValidation type="list" allowBlank="1" showInputMessage="1" showErrorMessage="1" errorTitle="Invalid Entry" error="Invalid Entry" sqref="D8:D27" xr:uid="{00000000-0002-0000-0500-00000B000000}">
      <formula1>FabricSlatWidth</formula1>
    </dataValidation>
    <dataValidation type="list" allowBlank="1" showInputMessage="1" showErrorMessage="1" errorTitle="Invalid Entry" error="Invalid Entry" sqref="H8:H27" xr:uid="{00000000-0002-0000-0500-00000C000000}">
      <formula1>WindowType</formula1>
    </dataValidation>
    <dataValidation type="whole" errorStyle="warning" allowBlank="1" showInputMessage="1" showErrorMessage="1" errorTitle="Be Aware" error="Minimum width is 500mm._x000a_Maximum width is 4800mm. " sqref="F8:F27" xr:uid="{00000000-0002-0000-0500-00000D000000}">
      <formula1>500</formula1>
      <formula2>4800</formula2>
    </dataValidation>
    <dataValidation type="whole" errorStyle="warning" allowBlank="1" showInputMessage="1" showErrorMessage="1" errorTitle="Be Aware" error="Minimum height/drop is 200mm._x000a_Maximum height/drop is 3600mm._x000a_" sqref="G8:G27" xr:uid="{00000000-0002-0000-0500-00000E000000}">
      <formula1>200</formula1>
      <formula2>3600</formula2>
    </dataValidation>
    <dataValidation allowBlank="1" sqref="W6:X27" xr:uid="{00000000-0002-0000-0500-00000F000000}"/>
  </dataValidations>
  <printOptions horizontalCentered="1"/>
  <pageMargins left="0.23622047244094491" right="0.23622047244094491" top="0.23622047244094491" bottom="0.23622047244094491" header="0.19685039370078741" footer="0.19685039370078741"/>
  <pageSetup paperSize="9" scale="50" fitToHeight="2"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pageSetUpPr fitToPage="1"/>
  </sheetPr>
  <dimension ref="A1:AZ58"/>
  <sheetViews>
    <sheetView view="pageBreakPreview" zoomScale="85" zoomScaleSheetLayoutView="85" workbookViewId="0">
      <selection activeCell="B8" sqref="B8"/>
    </sheetView>
  </sheetViews>
  <sheetFormatPr defaultRowHeight="15"/>
  <cols>
    <col min="1" max="1" width="7.140625" style="391" customWidth="1"/>
    <col min="2" max="2" width="13" style="391" customWidth="1"/>
    <col min="3" max="3" width="9.5703125" style="391" customWidth="1"/>
    <col min="4" max="4" width="27" style="391" customWidth="1"/>
    <col min="5" max="5" width="29.5703125" style="391" customWidth="1"/>
    <col min="6" max="6" width="13" style="391" customWidth="1"/>
    <col min="7" max="7" width="12.42578125" style="391" customWidth="1"/>
    <col min="8" max="8" width="15.28515625" style="391" customWidth="1"/>
    <col min="9" max="9" width="14.7109375" style="391" customWidth="1"/>
    <col min="10" max="10" width="10.42578125" style="391" customWidth="1"/>
    <col min="11" max="11" width="4.28515625" style="391" customWidth="1"/>
    <col min="12" max="13" width="20.85546875" style="391" customWidth="1"/>
    <col min="14" max="14" width="14" style="391" customWidth="1"/>
    <col min="15" max="15" width="7.140625" style="391" customWidth="1"/>
    <col min="16" max="16" width="6.140625" style="391" customWidth="1"/>
    <col min="17" max="17" width="15.28515625" style="391" customWidth="1"/>
    <col min="18" max="18" width="15.140625" style="391" customWidth="1"/>
    <col min="19" max="20" width="14.7109375" style="391" customWidth="1"/>
    <col min="21" max="21" width="16.28515625" style="391" customWidth="1"/>
    <col min="22" max="22" width="40.42578125" style="391" customWidth="1"/>
    <col min="23" max="23" width="15.42578125" style="391" customWidth="1"/>
    <col min="24" max="24" width="47.5703125" style="391" customWidth="1"/>
    <col min="25" max="27" width="9.140625" style="385" hidden="1" customWidth="1"/>
    <col min="28" max="29" width="46.85546875" style="385" hidden="1" customWidth="1"/>
    <col min="30" max="41" width="9.140625" style="385" hidden="1" customWidth="1"/>
    <col min="42" max="44" width="32.85546875" style="385" hidden="1" customWidth="1"/>
    <col min="45" max="45" width="31.85546875" style="385" hidden="1" customWidth="1"/>
    <col min="46" max="46" width="9.140625" style="385" hidden="1" customWidth="1"/>
    <col min="47" max="47" width="13.5703125" style="385" hidden="1" customWidth="1"/>
    <col min="48" max="48" width="24" style="385" hidden="1" customWidth="1"/>
    <col min="49" max="52" width="9.140625" style="385" hidden="1" customWidth="1"/>
    <col min="53" max="16384" width="9.140625" style="385"/>
  </cols>
  <sheetData>
    <row r="1" spans="1:49" ht="26.25">
      <c r="A1" s="635"/>
      <c r="B1" s="636"/>
      <c r="C1" s="636"/>
      <c r="D1" s="636"/>
      <c r="E1" s="636"/>
      <c r="F1" s="641"/>
      <c r="G1" s="642"/>
      <c r="H1" s="642"/>
      <c r="I1" s="643"/>
      <c r="J1" s="644"/>
      <c r="K1" s="644"/>
      <c r="L1" s="624" t="s">
        <v>0</v>
      </c>
      <c r="M1" s="624"/>
      <c r="N1" s="649">
        <f>Summary!D3</f>
        <v>0</v>
      </c>
      <c r="O1" s="650"/>
      <c r="P1" s="650"/>
      <c r="Q1" s="650"/>
      <c r="R1" s="650"/>
      <c r="S1" s="650"/>
      <c r="T1" s="650"/>
      <c r="U1" s="650"/>
      <c r="V1" s="384"/>
      <c r="W1" s="646"/>
      <c r="X1" s="647"/>
    </row>
    <row r="2" spans="1:49" ht="19.5">
      <c r="A2" s="637"/>
      <c r="B2" s="638"/>
      <c r="C2" s="638"/>
      <c r="D2" s="638"/>
      <c r="E2" s="638"/>
      <c r="F2" s="651" t="s">
        <v>1078</v>
      </c>
      <c r="G2" s="652"/>
      <c r="H2" s="652"/>
      <c r="I2" s="653"/>
      <c r="J2" s="644"/>
      <c r="K2" s="644"/>
      <c r="L2" s="624" t="s">
        <v>141</v>
      </c>
      <c r="M2" s="624"/>
      <c r="N2" s="654">
        <f>Summary!D6</f>
        <v>0</v>
      </c>
      <c r="O2" s="655"/>
      <c r="P2" s="655"/>
      <c r="Q2" s="655"/>
      <c r="R2" s="655"/>
      <c r="S2" s="655"/>
      <c r="T2" s="655"/>
      <c r="U2" s="655"/>
      <c r="V2" s="386"/>
      <c r="W2" s="646"/>
      <c r="X2" s="647"/>
    </row>
    <row r="3" spans="1:49" ht="18" customHeight="1">
      <c r="A3" s="639"/>
      <c r="B3" s="640"/>
      <c r="C3" s="640"/>
      <c r="D3" s="640"/>
      <c r="E3" s="640"/>
      <c r="F3" s="621"/>
      <c r="G3" s="622"/>
      <c r="H3" s="622"/>
      <c r="I3" s="623"/>
      <c r="J3" s="644"/>
      <c r="K3" s="644"/>
      <c r="L3" s="624" t="s">
        <v>143</v>
      </c>
      <c r="M3" s="624"/>
      <c r="N3" s="625">
        <f>Summary!D4</f>
        <v>0</v>
      </c>
      <c r="O3" s="626"/>
      <c r="P3" s="626"/>
      <c r="Q3" s="626"/>
      <c r="R3" s="626"/>
      <c r="S3" s="626"/>
      <c r="T3" s="626"/>
      <c r="U3" s="626"/>
      <c r="V3" s="386"/>
      <c r="W3" s="387"/>
      <c r="X3" s="388"/>
    </row>
    <row r="4" spans="1:49" ht="17.25" customHeight="1">
      <c r="A4" s="645" t="s">
        <v>452</v>
      </c>
      <c r="B4" s="645"/>
      <c r="C4" s="645"/>
      <c r="D4" s="664"/>
      <c r="E4" s="665"/>
      <c r="F4" s="665"/>
      <c r="G4" s="665"/>
      <c r="H4" s="665"/>
      <c r="I4" s="666"/>
      <c r="J4" s="631" t="s">
        <v>1036</v>
      </c>
      <c r="K4" s="631"/>
      <c r="L4" s="624" t="s">
        <v>978</v>
      </c>
      <c r="M4" s="624"/>
      <c r="N4" s="661">
        <f>Summary!D7</f>
        <v>0</v>
      </c>
      <c r="O4" s="662"/>
      <c r="P4" s="662"/>
      <c r="Q4" s="662"/>
      <c r="R4" s="662"/>
      <c r="S4" s="662"/>
      <c r="T4" s="662"/>
      <c r="U4" s="663"/>
      <c r="V4" s="386"/>
      <c r="W4" s="646"/>
      <c r="X4" s="648"/>
    </row>
    <row r="5" spans="1:49" ht="17.25" customHeight="1">
      <c r="A5" s="96" t="s">
        <v>1811</v>
      </c>
      <c r="B5" s="389"/>
      <c r="C5" s="389"/>
      <c r="D5" s="656"/>
      <c r="E5" s="657"/>
      <c r="F5" s="657"/>
      <c r="G5" s="657"/>
      <c r="H5" s="657"/>
      <c r="I5" s="658"/>
      <c r="J5" s="632">
        <v>52</v>
      </c>
      <c r="K5" s="632"/>
      <c r="L5" s="624" t="s">
        <v>144</v>
      </c>
      <c r="M5" s="624"/>
      <c r="N5" s="659">
        <f>Summary!D8</f>
        <v>0</v>
      </c>
      <c r="O5" s="660"/>
      <c r="P5" s="660"/>
      <c r="Q5" s="660"/>
      <c r="R5" s="660"/>
      <c r="S5" s="660"/>
      <c r="T5" s="660"/>
      <c r="U5" s="660"/>
      <c r="V5" s="390"/>
      <c r="W5" s="646"/>
      <c r="X5" s="648"/>
    </row>
    <row r="6" spans="1:49" ht="15.75" thickBot="1">
      <c r="A6" s="633"/>
      <c r="B6" s="633"/>
      <c r="C6" s="633"/>
      <c r="D6" s="633"/>
      <c r="E6" s="633"/>
      <c r="F6" s="633"/>
      <c r="G6" s="633"/>
      <c r="H6" s="633"/>
      <c r="I6" s="633"/>
      <c r="J6" s="633"/>
      <c r="K6" s="634"/>
      <c r="L6" s="627" t="s">
        <v>654</v>
      </c>
      <c r="M6" s="627"/>
      <c r="N6" s="628" t="str">
        <f>AB18</f>
        <v/>
      </c>
      <c r="O6" s="629"/>
      <c r="P6" s="629"/>
      <c r="Q6" s="629"/>
      <c r="R6" s="629"/>
      <c r="S6" s="629"/>
      <c r="T6" s="629"/>
      <c r="U6" s="630"/>
      <c r="X6" s="392"/>
      <c r="AV6" s="33" t="s">
        <v>2350</v>
      </c>
    </row>
    <row r="7" spans="1:49" ht="48.75" customHeight="1" thickTop="1" thickBot="1">
      <c r="A7" s="393" t="s">
        <v>146</v>
      </c>
      <c r="B7" s="394" t="s">
        <v>147</v>
      </c>
      <c r="C7" s="67" t="s">
        <v>726</v>
      </c>
      <c r="D7" s="394" t="s">
        <v>181</v>
      </c>
      <c r="E7" s="394" t="s">
        <v>152</v>
      </c>
      <c r="F7" s="394" t="s">
        <v>148</v>
      </c>
      <c r="G7" s="395" t="s">
        <v>149</v>
      </c>
      <c r="H7" s="396" t="s">
        <v>14</v>
      </c>
      <c r="I7" s="396" t="s">
        <v>165</v>
      </c>
      <c r="J7" s="613" t="s">
        <v>13</v>
      </c>
      <c r="K7" s="614"/>
      <c r="L7" s="395" t="s">
        <v>10</v>
      </c>
      <c r="M7" s="394" t="s">
        <v>12</v>
      </c>
      <c r="N7" s="394" t="s">
        <v>183</v>
      </c>
      <c r="O7" s="615" t="s">
        <v>16</v>
      </c>
      <c r="P7" s="616"/>
      <c r="Q7" s="395" t="s">
        <v>15</v>
      </c>
      <c r="R7" s="394" t="s">
        <v>4</v>
      </c>
      <c r="S7" s="394" t="s">
        <v>5</v>
      </c>
      <c r="T7" s="394" t="s">
        <v>6</v>
      </c>
      <c r="U7" s="394" t="s">
        <v>7</v>
      </c>
      <c r="V7" s="397" t="s">
        <v>203</v>
      </c>
      <c r="W7" s="398"/>
      <c r="X7" s="398"/>
      <c r="AG7" s="385" t="s">
        <v>1081</v>
      </c>
      <c r="AR7" s="33" t="s">
        <v>2348</v>
      </c>
      <c r="AS7" s="33" t="s">
        <v>2349</v>
      </c>
      <c r="AT7" s="33" t="s">
        <v>2351</v>
      </c>
      <c r="AV7" s="33" t="s">
        <v>2352</v>
      </c>
      <c r="AW7" s="33" t="s">
        <v>2353</v>
      </c>
    </row>
    <row r="8" spans="1:49" ht="30" customHeight="1" thickTop="1">
      <c r="A8" s="399">
        <v>1</v>
      </c>
      <c r="B8" s="400"/>
      <c r="C8" s="400"/>
      <c r="D8" s="400"/>
      <c r="E8" s="401"/>
      <c r="F8" s="402"/>
      <c r="G8" s="402"/>
      <c r="H8" s="403"/>
      <c r="I8" s="403"/>
      <c r="J8" s="617"/>
      <c r="K8" s="618"/>
      <c r="L8" s="826"/>
      <c r="M8" s="826"/>
      <c r="N8" s="404"/>
      <c r="O8" s="619"/>
      <c r="P8" s="620"/>
      <c r="Q8" s="405"/>
      <c r="R8" s="401"/>
      <c r="S8" s="401"/>
      <c r="T8" s="401"/>
      <c r="U8" s="401"/>
      <c r="V8" s="406"/>
      <c r="W8" s="407"/>
      <c r="X8" s="408"/>
      <c r="AA8" s="385" t="str">
        <f>IF(AND(C8&gt;0,N8=""),"Enter","OK")</f>
        <v>OK</v>
      </c>
      <c r="AB8" s="385" t="str">
        <f>IF(COUNTIF($H$8:$H$57,Data!KF3),Data!KG3,"")</f>
        <v/>
      </c>
      <c r="AC8" s="385" t="str">
        <f>IF(SUM(--ISNUMBER(SEARCH({"Bay","Corner"}, H8:H17))),"Yes","No")</f>
        <v>No</v>
      </c>
      <c r="AG8" s="385" t="b">
        <f>IF(D8=Data!$OL$3,Data!$AP$1, IF(D8=Data!$OL$4,Data!$AP$1, IF(D8=Data!$OL$5,Data!$AQ$1, IF(D8=Data!$OL$6,Data!$AQ$1, IF(D8=Data!$OL$7,Data!$AR$1)))))</f>
        <v>0</v>
      </c>
      <c r="AP8" s="486" t="s">
        <v>360</v>
      </c>
      <c r="AQ8" s="486" t="str">
        <f>$AS$7</f>
        <v>CordlockYesCordless</v>
      </c>
      <c r="AR8" s="33" t="s">
        <v>21</v>
      </c>
      <c r="AS8" s="33" t="s">
        <v>21</v>
      </c>
      <c r="AT8" s="385" t="e">
        <f>VLOOKUP(D8,$AP$8:$AQ$12,2,FALSE)</f>
        <v>#N/A</v>
      </c>
      <c r="AV8" s="33" t="s">
        <v>2354</v>
      </c>
      <c r="AW8" s="385" t="str">
        <f>IF(L8=$AV$6,$AV$7,$AR$7)</f>
        <v>CordlockNoCordless</v>
      </c>
    </row>
    <row r="9" spans="1:49" ht="30" customHeight="1">
      <c r="A9" s="409">
        <v>2</v>
      </c>
      <c r="B9" s="410"/>
      <c r="C9" s="411"/>
      <c r="D9" s="411"/>
      <c r="E9" s="410"/>
      <c r="F9" s="412"/>
      <c r="G9" s="412"/>
      <c r="H9" s="412"/>
      <c r="I9" s="412"/>
      <c r="J9" s="609"/>
      <c r="K9" s="610"/>
      <c r="L9" s="413"/>
      <c r="M9" s="413"/>
      <c r="N9" s="413"/>
      <c r="O9" s="611"/>
      <c r="P9" s="612"/>
      <c r="Q9" s="410"/>
      <c r="R9" s="410"/>
      <c r="S9" s="410"/>
      <c r="T9" s="410"/>
      <c r="U9" s="410"/>
      <c r="V9" s="414"/>
      <c r="W9" s="407"/>
      <c r="X9" s="408"/>
      <c r="AA9" s="385" t="str">
        <f t="shared" ref="AA9:AA57" si="0">IF(AND(C9&gt;0,N9=""),"Enter","OK")</f>
        <v>OK</v>
      </c>
      <c r="AB9" s="385" t="str">
        <f>IF(COUNTIF($H$8:$H$57,Data!KF4),Data!KG4,"")</f>
        <v/>
      </c>
      <c r="AG9" s="385" t="b">
        <f>IF(D9=Data!$OL$3,Data!$AP$1, IF(D9=Data!$OL$4,Data!$AP$1, IF(D9=Data!$OL$5,Data!$AQ$1, IF(D9=Data!$OL$6,Data!$AQ$1, IF(D9=Data!$OL$7,Data!$AR$1)))))</f>
        <v>0</v>
      </c>
      <c r="AP9" s="486" t="s">
        <v>361</v>
      </c>
      <c r="AQ9" s="486" t="str">
        <f>$AR$7</f>
        <v>CordlockNoCordless</v>
      </c>
      <c r="AR9" s="33" t="s">
        <v>28</v>
      </c>
      <c r="AS9" s="33" t="s">
        <v>28</v>
      </c>
      <c r="AT9" s="385" t="e">
        <f t="shared" ref="AT9:AT57" si="1">VLOOKUP(D9,$AP$8:$AQ$12,2,FALSE)</f>
        <v>#N/A</v>
      </c>
      <c r="AV9" s="33" t="s">
        <v>2355</v>
      </c>
      <c r="AW9" s="385" t="str">
        <f t="shared" ref="AW9:AW57" si="2">IF(L9=$AV$6,$AV$7,$AR$7)</f>
        <v>CordlockNoCordless</v>
      </c>
    </row>
    <row r="10" spans="1:49" ht="30" customHeight="1">
      <c r="A10" s="415">
        <v>3</v>
      </c>
      <c r="B10" s="411"/>
      <c r="C10" s="411"/>
      <c r="D10" s="411"/>
      <c r="E10" s="410"/>
      <c r="F10" s="412"/>
      <c r="G10" s="412"/>
      <c r="H10" s="412"/>
      <c r="I10" s="412"/>
      <c r="J10" s="609"/>
      <c r="K10" s="610"/>
      <c r="L10" s="413"/>
      <c r="M10" s="413"/>
      <c r="N10" s="413"/>
      <c r="O10" s="611"/>
      <c r="P10" s="612"/>
      <c r="Q10" s="410"/>
      <c r="R10" s="410"/>
      <c r="S10" s="410"/>
      <c r="T10" s="410"/>
      <c r="U10" s="410"/>
      <c r="V10" s="414"/>
      <c r="W10" s="407"/>
      <c r="X10" s="408"/>
      <c r="AA10" s="385" t="str">
        <f t="shared" si="0"/>
        <v>OK</v>
      </c>
      <c r="AB10" s="385" t="str">
        <f>IF(COUNTIF($H$8:$H$57,Data!KF5),Data!KG5,"")</f>
        <v/>
      </c>
      <c r="AG10" s="385" t="b">
        <f>IF(D10=Data!$OL$3,Data!$AP$1, IF(D10=Data!$OL$4,Data!$AP$1, IF(D10=Data!$OL$5,Data!$AQ$1, IF(D10=Data!$OL$6,Data!$AQ$1, IF(D10=Data!$OL$7,Data!$AR$1)))))</f>
        <v>0</v>
      </c>
      <c r="AP10" s="486" t="s">
        <v>359</v>
      </c>
      <c r="AQ10" s="486" t="str">
        <f>$AR$7</f>
        <v>CordlockNoCordless</v>
      </c>
      <c r="AS10" s="33" t="s">
        <v>2350</v>
      </c>
      <c r="AT10" s="385" t="e">
        <f t="shared" si="1"/>
        <v>#N/A</v>
      </c>
      <c r="AW10" s="385" t="str">
        <f t="shared" si="2"/>
        <v>CordlockNoCordless</v>
      </c>
    </row>
    <row r="11" spans="1:49" ht="30" customHeight="1">
      <c r="A11" s="415">
        <v>4</v>
      </c>
      <c r="B11" s="411"/>
      <c r="C11" s="411"/>
      <c r="D11" s="411"/>
      <c r="E11" s="410"/>
      <c r="F11" s="412"/>
      <c r="G11" s="412"/>
      <c r="H11" s="412"/>
      <c r="I11" s="412"/>
      <c r="J11" s="609"/>
      <c r="K11" s="610"/>
      <c r="L11" s="413"/>
      <c r="M11" s="413"/>
      <c r="N11" s="413"/>
      <c r="O11" s="611"/>
      <c r="P11" s="612"/>
      <c r="Q11" s="410"/>
      <c r="R11" s="410"/>
      <c r="S11" s="410"/>
      <c r="T11" s="410"/>
      <c r="U11" s="410"/>
      <c r="V11" s="414"/>
      <c r="W11" s="407"/>
      <c r="X11" s="408"/>
      <c r="AA11" s="385" t="str">
        <f t="shared" si="0"/>
        <v>OK</v>
      </c>
      <c r="AB11" s="385" t="str">
        <f>IF(COUNTIF($H$8:$H$57,Data!KF6),Data!KG6,"")</f>
        <v/>
      </c>
      <c r="AG11" s="385" t="b">
        <f>IF(D11=Data!$OL$3,Data!$AP$1, IF(D11=Data!$OL$4,Data!$AP$1, IF(D11=Data!$OL$5,Data!$AQ$1, IF(D11=Data!$OL$6,Data!$AQ$1, IF(D11=Data!$OL$7,Data!$AR$1)))))</f>
        <v>0</v>
      </c>
      <c r="AP11" s="486" t="s">
        <v>358</v>
      </c>
      <c r="AQ11" s="486" t="str">
        <f>$AR$7</f>
        <v>CordlockNoCordless</v>
      </c>
      <c r="AT11" s="385" t="e">
        <f t="shared" si="1"/>
        <v>#N/A</v>
      </c>
      <c r="AW11" s="385" t="str">
        <f t="shared" si="2"/>
        <v>CordlockNoCordless</v>
      </c>
    </row>
    <row r="12" spans="1:49" ht="30" customHeight="1">
      <c r="A12" s="415">
        <v>5</v>
      </c>
      <c r="B12" s="411"/>
      <c r="C12" s="411"/>
      <c r="D12" s="411"/>
      <c r="E12" s="410"/>
      <c r="F12" s="412"/>
      <c r="G12" s="412"/>
      <c r="H12" s="412"/>
      <c r="I12" s="412"/>
      <c r="J12" s="609"/>
      <c r="K12" s="610"/>
      <c r="L12" s="413"/>
      <c r="M12" s="413"/>
      <c r="N12" s="413"/>
      <c r="O12" s="611"/>
      <c r="P12" s="612"/>
      <c r="Q12" s="410"/>
      <c r="R12" s="410"/>
      <c r="S12" s="410"/>
      <c r="T12" s="410"/>
      <c r="U12" s="410"/>
      <c r="V12" s="414"/>
      <c r="W12" s="407"/>
      <c r="X12" s="408"/>
      <c r="AA12" s="385" t="str">
        <f t="shared" si="0"/>
        <v>OK</v>
      </c>
      <c r="AB12" s="385" t="str">
        <f>IF(COUNTIF($H$8:$H$57,Data!KF7),Data!KG7,"")</f>
        <v/>
      </c>
      <c r="AG12" s="385" t="b">
        <f>IF(D12=Data!$OL$3,Data!$AP$1, IF(D12=Data!$OL$4,Data!$AP$1, IF(D12=Data!$OL$5,Data!$AQ$1, IF(D12=Data!$OL$6,Data!$AQ$1, IF(D12=Data!$OL$7,Data!$AR$1)))))</f>
        <v>0</v>
      </c>
      <c r="AP12" s="486" t="s">
        <v>2284</v>
      </c>
      <c r="AQ12" s="486" t="str">
        <f>$AS$7</f>
        <v>CordlockYesCordless</v>
      </c>
      <c r="AT12" s="385" t="e">
        <f t="shared" si="1"/>
        <v>#N/A</v>
      </c>
      <c r="AW12" s="385" t="str">
        <f t="shared" si="2"/>
        <v>CordlockNoCordless</v>
      </c>
    </row>
    <row r="13" spans="1:49" ht="30" customHeight="1">
      <c r="A13" s="415">
        <v>6</v>
      </c>
      <c r="B13" s="411"/>
      <c r="C13" s="411"/>
      <c r="D13" s="411"/>
      <c r="E13" s="410"/>
      <c r="F13" s="412"/>
      <c r="G13" s="412"/>
      <c r="H13" s="412"/>
      <c r="I13" s="412"/>
      <c r="J13" s="609"/>
      <c r="K13" s="610"/>
      <c r="L13" s="413"/>
      <c r="M13" s="413"/>
      <c r="N13" s="413"/>
      <c r="O13" s="611"/>
      <c r="P13" s="612"/>
      <c r="Q13" s="410"/>
      <c r="R13" s="410"/>
      <c r="S13" s="410"/>
      <c r="T13" s="410"/>
      <c r="U13" s="410"/>
      <c r="V13" s="414"/>
      <c r="W13" s="407"/>
      <c r="X13" s="408"/>
      <c r="AA13" s="385" t="str">
        <f t="shared" si="0"/>
        <v>OK</v>
      </c>
      <c r="AB13" s="385" t="str">
        <f>IF(COUNTIF($H$8:$H$57,Data!KF8),Data!KG8,"")</f>
        <v/>
      </c>
      <c r="AG13" s="385" t="b">
        <f>IF(D13=Data!$OL$3,Data!$AP$1, IF(D13=Data!$OL$4,Data!$AP$1, IF(D13=Data!$OL$5,Data!$AQ$1, IF(D13=Data!$OL$6,Data!$AQ$1, IF(D13=Data!$OL$7,Data!$AR$1)))))</f>
        <v>0</v>
      </c>
      <c r="AT13" s="385" t="e">
        <f t="shared" si="1"/>
        <v>#N/A</v>
      </c>
      <c r="AW13" s="385" t="str">
        <f t="shared" si="2"/>
        <v>CordlockNoCordless</v>
      </c>
    </row>
    <row r="14" spans="1:49" ht="30" customHeight="1">
      <c r="A14" s="415">
        <v>7</v>
      </c>
      <c r="B14" s="411"/>
      <c r="C14" s="411"/>
      <c r="D14" s="411"/>
      <c r="E14" s="410"/>
      <c r="F14" s="412"/>
      <c r="G14" s="412"/>
      <c r="H14" s="412"/>
      <c r="I14" s="412"/>
      <c r="J14" s="609"/>
      <c r="K14" s="610"/>
      <c r="L14" s="413"/>
      <c r="M14" s="413"/>
      <c r="N14" s="413"/>
      <c r="O14" s="611"/>
      <c r="P14" s="612"/>
      <c r="Q14" s="410"/>
      <c r="R14" s="410"/>
      <c r="S14" s="410"/>
      <c r="T14" s="410"/>
      <c r="U14" s="410"/>
      <c r="V14" s="414"/>
      <c r="W14" s="407"/>
      <c r="X14" s="408"/>
      <c r="AA14" s="385" t="str">
        <f t="shared" si="0"/>
        <v>OK</v>
      </c>
      <c r="AB14" s="385" t="str">
        <f>IF(COUNTIF($H$8:$H$57,Data!KF9),Data!KG9,"")</f>
        <v/>
      </c>
      <c r="AG14" s="385" t="b">
        <f>IF(D14=Data!$OL$3,Data!$AP$1, IF(D14=Data!$OL$4,Data!$AP$1, IF(D14=Data!$OL$5,Data!$AQ$1, IF(D14=Data!$OL$6,Data!$AQ$1, IF(D14=Data!$OL$7,Data!$AR$1)))))</f>
        <v>0</v>
      </c>
      <c r="AT14" s="385" t="e">
        <f t="shared" si="1"/>
        <v>#N/A</v>
      </c>
      <c r="AW14" s="385" t="str">
        <f t="shared" si="2"/>
        <v>CordlockNoCordless</v>
      </c>
    </row>
    <row r="15" spans="1:49" ht="30" customHeight="1">
      <c r="A15" s="415">
        <v>8</v>
      </c>
      <c r="B15" s="416"/>
      <c r="C15" s="416"/>
      <c r="D15" s="411"/>
      <c r="E15" s="410"/>
      <c r="F15" s="412"/>
      <c r="G15" s="412"/>
      <c r="H15" s="412"/>
      <c r="I15" s="412"/>
      <c r="J15" s="609"/>
      <c r="K15" s="610"/>
      <c r="L15" s="413"/>
      <c r="M15" s="413"/>
      <c r="N15" s="413"/>
      <c r="O15" s="611"/>
      <c r="P15" s="612"/>
      <c r="Q15" s="410"/>
      <c r="R15" s="410"/>
      <c r="S15" s="410"/>
      <c r="T15" s="410"/>
      <c r="U15" s="410"/>
      <c r="V15" s="414"/>
      <c r="W15" s="407"/>
      <c r="X15" s="408"/>
      <c r="AA15" s="385" t="str">
        <f t="shared" si="0"/>
        <v>OK</v>
      </c>
      <c r="AB15" s="385" t="str">
        <f>IF(COUNTIF(AB8:AB14,Data!KG6),Data!KH6,"")</f>
        <v/>
      </c>
      <c r="AG15" s="385" t="b">
        <f>IF(D15=Data!$OL$3,Data!$AP$1, IF(D15=Data!$OL$4,Data!$AP$1, IF(D15=Data!$OL$5,Data!$AQ$1, IF(D15=Data!$OL$6,Data!$AQ$1, IF(D15=Data!$OL$7,Data!$AR$1)))))</f>
        <v>0</v>
      </c>
      <c r="AT15" s="385" t="e">
        <f t="shared" si="1"/>
        <v>#N/A</v>
      </c>
      <c r="AW15" s="385" t="str">
        <f t="shared" si="2"/>
        <v>CordlockNoCordless</v>
      </c>
    </row>
    <row r="16" spans="1:49" ht="30" customHeight="1">
      <c r="A16" s="415">
        <v>9</v>
      </c>
      <c r="B16" s="411"/>
      <c r="C16" s="411"/>
      <c r="D16" s="411"/>
      <c r="E16" s="417"/>
      <c r="F16" s="412"/>
      <c r="G16" s="412"/>
      <c r="H16" s="412"/>
      <c r="I16" s="412"/>
      <c r="J16" s="609"/>
      <c r="K16" s="610"/>
      <c r="L16" s="413"/>
      <c r="M16" s="413"/>
      <c r="N16" s="413"/>
      <c r="O16" s="611"/>
      <c r="P16" s="612"/>
      <c r="Q16" s="410"/>
      <c r="R16" s="410"/>
      <c r="S16" s="410"/>
      <c r="T16" s="410"/>
      <c r="U16" s="410"/>
      <c r="V16" s="414"/>
      <c r="W16" s="407"/>
      <c r="X16" s="408"/>
      <c r="AA16" s="385" t="str">
        <f t="shared" si="0"/>
        <v>OK</v>
      </c>
      <c r="AB16" s="385" t="str">
        <f>IF(COUNTIF(AB8:AB14,Data!KG7),Data!KH7,"")</f>
        <v/>
      </c>
      <c r="AG16" s="385" t="b">
        <f>IF(D16=Data!$OL$3,Data!$AP$1, IF(D16=Data!$OL$4,Data!$AP$1, IF(D16=Data!$OL$5,Data!$AQ$1, IF(D16=Data!$OL$6,Data!$AQ$1, IF(D16=Data!$OL$7,Data!$AR$1)))))</f>
        <v>0</v>
      </c>
      <c r="AT16" s="385" t="e">
        <f t="shared" si="1"/>
        <v>#N/A</v>
      </c>
      <c r="AW16" s="385" t="str">
        <f t="shared" si="2"/>
        <v>CordlockNoCordless</v>
      </c>
    </row>
    <row r="17" spans="1:49" ht="30" customHeight="1">
      <c r="A17" s="415">
        <v>10</v>
      </c>
      <c r="B17" s="411"/>
      <c r="C17" s="411"/>
      <c r="D17" s="411"/>
      <c r="E17" s="418"/>
      <c r="F17" s="412"/>
      <c r="G17" s="412"/>
      <c r="H17" s="412"/>
      <c r="I17" s="412"/>
      <c r="J17" s="609"/>
      <c r="K17" s="610"/>
      <c r="L17" s="413"/>
      <c r="M17" s="413"/>
      <c r="N17" s="413"/>
      <c r="O17" s="611"/>
      <c r="P17" s="612"/>
      <c r="Q17" s="410"/>
      <c r="R17" s="410"/>
      <c r="S17" s="410"/>
      <c r="T17" s="410"/>
      <c r="U17" s="410"/>
      <c r="V17" s="414"/>
      <c r="W17" s="407"/>
      <c r="X17" s="408"/>
      <c r="AA17" s="385" t="str">
        <f t="shared" si="0"/>
        <v>OK</v>
      </c>
      <c r="AB17" s="385" t="str">
        <f>AB15&amp;" &amp; "&amp;AB16&amp;""</f>
        <v xml:space="preserve"> &amp; </v>
      </c>
      <c r="AG17" s="385" t="b">
        <f>IF(D17=Data!$OL$3,Data!$AP$1, IF(D17=Data!$OL$4,Data!$AP$1, IF(D17=Data!$OL$5,Data!$AQ$1, IF(D17=Data!$OL$6,Data!$AQ$1, IF(D17=Data!$OL$7,Data!$AR$1)))))</f>
        <v>0</v>
      </c>
      <c r="AT17" s="385" t="e">
        <f t="shared" si="1"/>
        <v>#N/A</v>
      </c>
      <c r="AW17" s="385" t="str">
        <f t="shared" si="2"/>
        <v>CordlockNoCordless</v>
      </c>
    </row>
    <row r="18" spans="1:49" ht="30" customHeight="1">
      <c r="A18" s="415">
        <v>11</v>
      </c>
      <c r="B18" s="411"/>
      <c r="C18" s="411"/>
      <c r="D18" s="411"/>
      <c r="E18" s="418"/>
      <c r="F18" s="412"/>
      <c r="G18" s="412"/>
      <c r="H18" s="412"/>
      <c r="I18" s="412"/>
      <c r="J18" s="609"/>
      <c r="K18" s="610"/>
      <c r="L18" s="413"/>
      <c r="M18" s="413"/>
      <c r="N18" s="413"/>
      <c r="O18" s="611"/>
      <c r="P18" s="612"/>
      <c r="Q18" s="410"/>
      <c r="R18" s="410"/>
      <c r="S18" s="410"/>
      <c r="T18" s="410"/>
      <c r="U18" s="410"/>
      <c r="V18" s="414"/>
      <c r="W18" s="407"/>
      <c r="X18" s="408"/>
      <c r="AA18" s="385" t="str">
        <f t="shared" si="0"/>
        <v>OK</v>
      </c>
      <c r="AB18" s="385" t="str">
        <f>IF(AB17="Corner &amp; Bay","Corner &amp; Bay Window Diagram Must Be Supplied",IF(AB15="Corner","Corner Window Diagram Must Be Supplied",IF(AB16="Bay","Bay Window Diagram Must Be Supplied","")))</f>
        <v/>
      </c>
      <c r="AG18" s="385" t="b">
        <f>IF(D18=Data!$OL$3,Data!$AP$1, IF(D18=Data!$OL$4,Data!$AP$1, IF(D18=Data!$OL$5,Data!$AQ$1, IF(D18=Data!$OL$6,Data!$AQ$1, IF(D18=Data!$OL$7,Data!$AR$1)))))</f>
        <v>0</v>
      </c>
      <c r="AT18" s="385" t="e">
        <f t="shared" si="1"/>
        <v>#N/A</v>
      </c>
      <c r="AW18" s="385" t="str">
        <f t="shared" si="2"/>
        <v>CordlockNoCordless</v>
      </c>
    </row>
    <row r="19" spans="1:49" ht="30" customHeight="1">
      <c r="A19" s="415">
        <v>12</v>
      </c>
      <c r="B19" s="411"/>
      <c r="C19" s="411"/>
      <c r="D19" s="411"/>
      <c r="E19" s="418"/>
      <c r="F19" s="412"/>
      <c r="G19" s="412"/>
      <c r="H19" s="412"/>
      <c r="I19" s="412"/>
      <c r="J19" s="609"/>
      <c r="K19" s="610"/>
      <c r="L19" s="413"/>
      <c r="M19" s="413"/>
      <c r="N19" s="413"/>
      <c r="O19" s="611"/>
      <c r="P19" s="612"/>
      <c r="Q19" s="410"/>
      <c r="R19" s="410"/>
      <c r="S19" s="410"/>
      <c r="T19" s="410"/>
      <c r="U19" s="410"/>
      <c r="V19" s="414"/>
      <c r="W19" s="407"/>
      <c r="X19" s="408"/>
      <c r="AA19" s="385" t="str">
        <f t="shared" si="0"/>
        <v>OK</v>
      </c>
      <c r="AG19" s="385" t="b">
        <f>IF(D19=Data!$OL$3,Data!$AP$1, IF(D19=Data!$OL$4,Data!$AP$1, IF(D19=Data!$OL$5,Data!$AQ$1, IF(D19=Data!$OL$6,Data!$AQ$1, IF(D19=Data!$OL$7,Data!$AR$1)))))</f>
        <v>0</v>
      </c>
      <c r="AT19" s="385" t="e">
        <f t="shared" si="1"/>
        <v>#N/A</v>
      </c>
      <c r="AW19" s="385" t="str">
        <f t="shared" si="2"/>
        <v>CordlockNoCordless</v>
      </c>
    </row>
    <row r="20" spans="1:49" ht="30" customHeight="1">
      <c r="A20" s="415">
        <v>13</v>
      </c>
      <c r="B20" s="411"/>
      <c r="C20" s="411"/>
      <c r="D20" s="411"/>
      <c r="E20" s="418"/>
      <c r="F20" s="412"/>
      <c r="G20" s="412"/>
      <c r="H20" s="412"/>
      <c r="I20" s="412"/>
      <c r="J20" s="609"/>
      <c r="K20" s="610"/>
      <c r="L20" s="413"/>
      <c r="M20" s="413"/>
      <c r="N20" s="413"/>
      <c r="O20" s="611"/>
      <c r="P20" s="612"/>
      <c r="Q20" s="410"/>
      <c r="R20" s="410"/>
      <c r="S20" s="410"/>
      <c r="T20" s="410"/>
      <c r="U20" s="410"/>
      <c r="V20" s="414"/>
      <c r="W20" s="407"/>
      <c r="X20" s="408"/>
      <c r="AA20" s="385" t="str">
        <f t="shared" si="0"/>
        <v>OK</v>
      </c>
      <c r="AG20" s="385" t="b">
        <f>IF(D20=Data!$OL$3,Data!$AP$1, IF(D20=Data!$OL$4,Data!$AP$1, IF(D20=Data!$OL$5,Data!$AQ$1, IF(D20=Data!$OL$6,Data!$AQ$1, IF(D20=Data!$OL$7,Data!$AR$1)))))</f>
        <v>0</v>
      </c>
      <c r="AT20" s="385" t="e">
        <f t="shared" si="1"/>
        <v>#N/A</v>
      </c>
      <c r="AW20" s="385" t="str">
        <f t="shared" si="2"/>
        <v>CordlockNoCordless</v>
      </c>
    </row>
    <row r="21" spans="1:49" ht="30" customHeight="1">
      <c r="A21" s="415">
        <v>14</v>
      </c>
      <c r="B21" s="411"/>
      <c r="C21" s="411"/>
      <c r="D21" s="411"/>
      <c r="E21" s="418"/>
      <c r="F21" s="412"/>
      <c r="G21" s="412"/>
      <c r="H21" s="412"/>
      <c r="I21" s="412"/>
      <c r="J21" s="609"/>
      <c r="K21" s="610"/>
      <c r="L21" s="413"/>
      <c r="M21" s="413"/>
      <c r="N21" s="413"/>
      <c r="O21" s="611"/>
      <c r="P21" s="612"/>
      <c r="Q21" s="410"/>
      <c r="R21" s="410"/>
      <c r="S21" s="410"/>
      <c r="T21" s="410"/>
      <c r="U21" s="410"/>
      <c r="V21" s="414"/>
      <c r="W21" s="407"/>
      <c r="X21" s="408"/>
      <c r="AA21" s="385" t="str">
        <f t="shared" si="0"/>
        <v>OK</v>
      </c>
      <c r="AG21" s="385" t="b">
        <f>IF(D21=Data!$OL$3,Data!$AP$1, IF(D21=Data!$OL$4,Data!$AP$1, IF(D21=Data!$OL$5,Data!$AQ$1, IF(D21=Data!$OL$6,Data!$AQ$1, IF(D21=Data!$OL$7,Data!$AR$1)))))</f>
        <v>0</v>
      </c>
      <c r="AT21" s="385" t="e">
        <f t="shared" si="1"/>
        <v>#N/A</v>
      </c>
      <c r="AW21" s="385" t="str">
        <f t="shared" si="2"/>
        <v>CordlockNoCordless</v>
      </c>
    </row>
    <row r="22" spans="1:49" ht="30" customHeight="1">
      <c r="A22" s="415">
        <v>15</v>
      </c>
      <c r="B22" s="411"/>
      <c r="C22" s="411"/>
      <c r="D22" s="411"/>
      <c r="E22" s="418"/>
      <c r="F22" s="412"/>
      <c r="G22" s="412"/>
      <c r="H22" s="412"/>
      <c r="I22" s="412"/>
      <c r="J22" s="609"/>
      <c r="K22" s="610"/>
      <c r="L22" s="413"/>
      <c r="M22" s="413"/>
      <c r="N22" s="413"/>
      <c r="O22" s="611"/>
      <c r="P22" s="612"/>
      <c r="Q22" s="410"/>
      <c r="R22" s="410"/>
      <c r="S22" s="410"/>
      <c r="T22" s="410"/>
      <c r="U22" s="410"/>
      <c r="V22" s="414"/>
      <c r="W22" s="407"/>
      <c r="X22" s="408"/>
      <c r="AA22" s="385" t="str">
        <f t="shared" si="0"/>
        <v>OK</v>
      </c>
      <c r="AG22" s="385" t="b">
        <f>IF(D22=Data!$OL$3,Data!$AP$1, IF(D22=Data!$OL$4,Data!$AP$1, IF(D22=Data!$OL$5,Data!$AQ$1, IF(D22=Data!$OL$6,Data!$AQ$1, IF(D22=Data!$OL$7,Data!$AR$1)))))</f>
        <v>0</v>
      </c>
      <c r="AT22" s="385" t="e">
        <f t="shared" si="1"/>
        <v>#N/A</v>
      </c>
      <c r="AW22" s="385" t="str">
        <f t="shared" si="2"/>
        <v>CordlockNoCordless</v>
      </c>
    </row>
    <row r="23" spans="1:49" ht="30" customHeight="1">
      <c r="A23" s="415">
        <v>16</v>
      </c>
      <c r="B23" s="411"/>
      <c r="C23" s="411"/>
      <c r="D23" s="411"/>
      <c r="E23" s="418"/>
      <c r="F23" s="412"/>
      <c r="G23" s="412"/>
      <c r="H23" s="412"/>
      <c r="I23" s="412"/>
      <c r="J23" s="609"/>
      <c r="K23" s="610"/>
      <c r="L23" s="413"/>
      <c r="M23" s="413"/>
      <c r="N23" s="413"/>
      <c r="O23" s="611"/>
      <c r="P23" s="612"/>
      <c r="Q23" s="410"/>
      <c r="R23" s="410"/>
      <c r="S23" s="410"/>
      <c r="T23" s="410"/>
      <c r="U23" s="410"/>
      <c r="V23" s="414"/>
      <c r="W23" s="407"/>
      <c r="X23" s="408"/>
      <c r="AA23" s="385" t="str">
        <f t="shared" si="0"/>
        <v>OK</v>
      </c>
      <c r="AG23" s="385" t="b">
        <f>IF(D23=Data!$OL$3,Data!$AP$1, IF(D23=Data!$OL$4,Data!$AP$1, IF(D23=Data!$OL$5,Data!$AQ$1, IF(D23=Data!$OL$6,Data!$AQ$1, IF(D23=Data!$OL$7,Data!$AR$1)))))</f>
        <v>0</v>
      </c>
      <c r="AT23" s="385" t="e">
        <f t="shared" si="1"/>
        <v>#N/A</v>
      </c>
      <c r="AW23" s="385" t="str">
        <f t="shared" si="2"/>
        <v>CordlockNoCordless</v>
      </c>
    </row>
    <row r="24" spans="1:49" ht="30" customHeight="1">
      <c r="A24" s="415">
        <v>17</v>
      </c>
      <c r="B24" s="416"/>
      <c r="C24" s="416"/>
      <c r="D24" s="411"/>
      <c r="E24" s="418"/>
      <c r="F24" s="412"/>
      <c r="G24" s="412"/>
      <c r="H24" s="412"/>
      <c r="I24" s="412"/>
      <c r="J24" s="609"/>
      <c r="K24" s="610"/>
      <c r="L24" s="413"/>
      <c r="M24" s="413"/>
      <c r="N24" s="413"/>
      <c r="O24" s="611"/>
      <c r="P24" s="612"/>
      <c r="Q24" s="410"/>
      <c r="R24" s="410"/>
      <c r="S24" s="410"/>
      <c r="T24" s="410"/>
      <c r="U24" s="410"/>
      <c r="V24" s="414"/>
      <c r="W24" s="407"/>
      <c r="X24" s="408"/>
      <c r="AA24" s="385" t="str">
        <f t="shared" si="0"/>
        <v>OK</v>
      </c>
      <c r="AG24" s="385" t="b">
        <f>IF(D24=Data!$OL$3,Data!$AP$1, IF(D24=Data!$OL$4,Data!$AP$1, IF(D24=Data!$OL$5,Data!$AQ$1, IF(D24=Data!$OL$6,Data!$AQ$1, IF(D24=Data!$OL$7,Data!$AR$1)))))</f>
        <v>0</v>
      </c>
      <c r="AT24" s="385" t="e">
        <f t="shared" si="1"/>
        <v>#N/A</v>
      </c>
      <c r="AW24" s="385" t="str">
        <f t="shared" si="2"/>
        <v>CordlockNoCordless</v>
      </c>
    </row>
    <row r="25" spans="1:49" ht="30" customHeight="1">
      <c r="A25" s="415">
        <v>18</v>
      </c>
      <c r="B25" s="411"/>
      <c r="C25" s="411"/>
      <c r="D25" s="411"/>
      <c r="E25" s="418"/>
      <c r="F25" s="412"/>
      <c r="G25" s="412"/>
      <c r="H25" s="412"/>
      <c r="I25" s="412"/>
      <c r="J25" s="609"/>
      <c r="K25" s="610"/>
      <c r="L25" s="413"/>
      <c r="M25" s="413"/>
      <c r="N25" s="413"/>
      <c r="O25" s="611"/>
      <c r="P25" s="612"/>
      <c r="Q25" s="410"/>
      <c r="R25" s="410"/>
      <c r="S25" s="410"/>
      <c r="T25" s="410"/>
      <c r="U25" s="410"/>
      <c r="V25" s="414"/>
      <c r="W25" s="407"/>
      <c r="X25" s="408"/>
      <c r="AA25" s="385" t="str">
        <f t="shared" si="0"/>
        <v>OK</v>
      </c>
      <c r="AG25" s="385" t="b">
        <f>IF(D25=Data!$OL$3,Data!$AP$1, IF(D25=Data!$OL$4,Data!$AP$1, IF(D25=Data!$OL$5,Data!$AQ$1, IF(D25=Data!$OL$6,Data!$AQ$1, IF(D25=Data!$OL$7,Data!$AR$1)))))</f>
        <v>0</v>
      </c>
      <c r="AT25" s="385" t="e">
        <f t="shared" si="1"/>
        <v>#N/A</v>
      </c>
      <c r="AW25" s="385" t="str">
        <f t="shared" si="2"/>
        <v>CordlockNoCordless</v>
      </c>
    </row>
    <row r="26" spans="1:49" ht="30" customHeight="1">
      <c r="A26" s="415">
        <v>19</v>
      </c>
      <c r="B26" s="411"/>
      <c r="C26" s="411"/>
      <c r="D26" s="411"/>
      <c r="E26" s="418"/>
      <c r="F26" s="412"/>
      <c r="G26" s="412"/>
      <c r="H26" s="412"/>
      <c r="I26" s="412"/>
      <c r="J26" s="609"/>
      <c r="K26" s="610"/>
      <c r="L26" s="413"/>
      <c r="M26" s="413"/>
      <c r="N26" s="413"/>
      <c r="O26" s="611"/>
      <c r="P26" s="612"/>
      <c r="Q26" s="410"/>
      <c r="R26" s="410"/>
      <c r="S26" s="410"/>
      <c r="T26" s="410"/>
      <c r="U26" s="410"/>
      <c r="V26" s="414"/>
      <c r="W26" s="407"/>
      <c r="X26" s="408"/>
      <c r="AA26" s="385" t="str">
        <f t="shared" si="0"/>
        <v>OK</v>
      </c>
      <c r="AG26" s="385" t="b">
        <f>IF(D26=Data!$OL$3,Data!$AP$1, IF(D26=Data!$OL$4,Data!$AP$1, IF(D26=Data!$OL$5,Data!$AQ$1, IF(D26=Data!$OL$6,Data!$AQ$1, IF(D26=Data!$OL$7,Data!$AR$1)))))</f>
        <v>0</v>
      </c>
      <c r="AT26" s="385" t="e">
        <f t="shared" si="1"/>
        <v>#N/A</v>
      </c>
      <c r="AW26" s="385" t="str">
        <f t="shared" si="2"/>
        <v>CordlockNoCordless</v>
      </c>
    </row>
    <row r="27" spans="1:49" ht="30" customHeight="1">
      <c r="A27" s="415">
        <v>20</v>
      </c>
      <c r="B27" s="410"/>
      <c r="C27" s="411"/>
      <c r="D27" s="411"/>
      <c r="E27" s="418"/>
      <c r="F27" s="412"/>
      <c r="G27" s="412"/>
      <c r="H27" s="412"/>
      <c r="I27" s="412"/>
      <c r="J27" s="609"/>
      <c r="K27" s="610"/>
      <c r="L27" s="413"/>
      <c r="M27" s="413"/>
      <c r="N27" s="413"/>
      <c r="O27" s="611"/>
      <c r="P27" s="612"/>
      <c r="Q27" s="410"/>
      <c r="R27" s="410"/>
      <c r="S27" s="410"/>
      <c r="T27" s="410"/>
      <c r="U27" s="410"/>
      <c r="V27" s="414"/>
      <c r="W27" s="407"/>
      <c r="X27" s="408"/>
      <c r="AA27" s="385" t="str">
        <f t="shared" si="0"/>
        <v>OK</v>
      </c>
      <c r="AG27" s="385" t="b">
        <f>IF(D27=Data!$OL$3,Data!$AP$1, IF(D27=Data!$OL$4,Data!$AP$1, IF(D27=Data!$OL$5,Data!$AQ$1, IF(D27=Data!$OL$6,Data!$AQ$1, IF(D27=Data!$OL$7,Data!$AR$1)))))</f>
        <v>0</v>
      </c>
      <c r="AT27" s="385" t="e">
        <f t="shared" si="1"/>
        <v>#N/A</v>
      </c>
      <c r="AW27" s="385" t="str">
        <f t="shared" si="2"/>
        <v>CordlockNoCordless</v>
      </c>
    </row>
    <row r="28" spans="1:49" ht="30" customHeight="1">
      <c r="A28" s="415">
        <v>21</v>
      </c>
      <c r="B28" s="410"/>
      <c r="C28" s="411"/>
      <c r="D28" s="411"/>
      <c r="E28" s="418"/>
      <c r="F28" s="412"/>
      <c r="G28" s="412"/>
      <c r="H28" s="412"/>
      <c r="I28" s="412"/>
      <c r="J28" s="609"/>
      <c r="K28" s="610"/>
      <c r="L28" s="413"/>
      <c r="M28" s="413"/>
      <c r="N28" s="413"/>
      <c r="O28" s="611"/>
      <c r="P28" s="612"/>
      <c r="Q28" s="410"/>
      <c r="R28" s="410"/>
      <c r="S28" s="410"/>
      <c r="T28" s="410"/>
      <c r="U28" s="410"/>
      <c r="V28" s="414"/>
      <c r="W28" s="407"/>
      <c r="X28" s="408"/>
      <c r="AA28" s="385" t="str">
        <f t="shared" si="0"/>
        <v>OK</v>
      </c>
      <c r="AG28" s="385" t="b">
        <f>IF(D28=Data!$OL$3,Data!$AP$1, IF(D28=Data!$OL$4,Data!$AP$1, IF(D28=Data!$OL$5,Data!$AQ$1, IF(D28=Data!$OL$6,Data!$AQ$1, IF(D28=Data!$OL$7,Data!$AR$1)))))</f>
        <v>0</v>
      </c>
      <c r="AT28" s="385" t="e">
        <f t="shared" si="1"/>
        <v>#N/A</v>
      </c>
      <c r="AW28" s="385" t="str">
        <f t="shared" si="2"/>
        <v>CordlockNoCordless</v>
      </c>
    </row>
    <row r="29" spans="1:49" ht="30" customHeight="1">
      <c r="A29" s="415">
        <v>22</v>
      </c>
      <c r="B29" s="410"/>
      <c r="C29" s="411"/>
      <c r="D29" s="411"/>
      <c r="E29" s="418"/>
      <c r="F29" s="412"/>
      <c r="G29" s="412"/>
      <c r="H29" s="412"/>
      <c r="I29" s="412"/>
      <c r="J29" s="609"/>
      <c r="K29" s="610"/>
      <c r="L29" s="413"/>
      <c r="M29" s="413"/>
      <c r="N29" s="413"/>
      <c r="O29" s="611"/>
      <c r="P29" s="612"/>
      <c r="Q29" s="410"/>
      <c r="R29" s="410"/>
      <c r="S29" s="410"/>
      <c r="T29" s="410"/>
      <c r="U29" s="410"/>
      <c r="V29" s="414"/>
      <c r="W29" s="407"/>
      <c r="X29" s="408"/>
      <c r="AA29" s="385" t="str">
        <f t="shared" si="0"/>
        <v>OK</v>
      </c>
      <c r="AG29" s="385" t="b">
        <f>IF(D29=Data!$OL$3,Data!$AP$1, IF(D29=Data!$OL$4,Data!$AP$1, IF(D29=Data!$OL$5,Data!$AQ$1, IF(D29=Data!$OL$6,Data!$AQ$1, IF(D29=Data!$OL$7,Data!$AR$1)))))</f>
        <v>0</v>
      </c>
      <c r="AT29" s="385" t="e">
        <f t="shared" si="1"/>
        <v>#N/A</v>
      </c>
      <c r="AW29" s="385" t="str">
        <f t="shared" si="2"/>
        <v>CordlockNoCordless</v>
      </c>
    </row>
    <row r="30" spans="1:49" ht="30" customHeight="1">
      <c r="A30" s="415">
        <v>23</v>
      </c>
      <c r="B30" s="410"/>
      <c r="C30" s="411"/>
      <c r="D30" s="411"/>
      <c r="E30" s="418"/>
      <c r="F30" s="412"/>
      <c r="G30" s="412"/>
      <c r="H30" s="412"/>
      <c r="I30" s="412"/>
      <c r="J30" s="609"/>
      <c r="K30" s="610"/>
      <c r="L30" s="413"/>
      <c r="M30" s="413"/>
      <c r="N30" s="413"/>
      <c r="O30" s="611"/>
      <c r="P30" s="612"/>
      <c r="Q30" s="410"/>
      <c r="R30" s="410"/>
      <c r="S30" s="410"/>
      <c r="T30" s="410"/>
      <c r="U30" s="410"/>
      <c r="V30" s="414"/>
      <c r="W30" s="407"/>
      <c r="X30" s="408"/>
      <c r="AA30" s="385" t="str">
        <f t="shared" si="0"/>
        <v>OK</v>
      </c>
      <c r="AG30" s="385" t="b">
        <f>IF(D30=Data!$OL$3,Data!$AP$1, IF(D30=Data!$OL$4,Data!$AP$1, IF(D30=Data!$OL$5,Data!$AQ$1, IF(D30=Data!$OL$6,Data!$AQ$1, IF(D30=Data!$OL$7,Data!$AR$1)))))</f>
        <v>0</v>
      </c>
      <c r="AT30" s="385" t="e">
        <f t="shared" si="1"/>
        <v>#N/A</v>
      </c>
      <c r="AW30" s="385" t="str">
        <f t="shared" si="2"/>
        <v>CordlockNoCordless</v>
      </c>
    </row>
    <row r="31" spans="1:49" ht="30" customHeight="1">
      <c r="A31" s="415">
        <v>24</v>
      </c>
      <c r="B31" s="410"/>
      <c r="C31" s="411"/>
      <c r="D31" s="411"/>
      <c r="E31" s="418"/>
      <c r="F31" s="412"/>
      <c r="G31" s="412"/>
      <c r="H31" s="412"/>
      <c r="I31" s="412"/>
      <c r="J31" s="609"/>
      <c r="K31" s="610"/>
      <c r="L31" s="413"/>
      <c r="M31" s="413"/>
      <c r="N31" s="413"/>
      <c r="O31" s="611"/>
      <c r="P31" s="612"/>
      <c r="Q31" s="410"/>
      <c r="R31" s="410"/>
      <c r="S31" s="410"/>
      <c r="T31" s="410"/>
      <c r="U31" s="410"/>
      <c r="V31" s="414"/>
      <c r="W31" s="407"/>
      <c r="X31" s="408"/>
      <c r="AA31" s="385" t="str">
        <f t="shared" si="0"/>
        <v>OK</v>
      </c>
      <c r="AG31" s="385" t="b">
        <f>IF(D31=Data!$OL$3,Data!$AP$1, IF(D31=Data!$OL$4,Data!$AP$1, IF(D31=Data!$OL$5,Data!$AQ$1, IF(D31=Data!$OL$6,Data!$AQ$1, IF(D31=Data!$OL$7,Data!$AR$1)))))</f>
        <v>0</v>
      </c>
      <c r="AT31" s="385" t="e">
        <f t="shared" si="1"/>
        <v>#N/A</v>
      </c>
      <c r="AW31" s="385" t="str">
        <f t="shared" si="2"/>
        <v>CordlockNoCordless</v>
      </c>
    </row>
    <row r="32" spans="1:49" ht="30" customHeight="1">
      <c r="A32" s="415">
        <v>25</v>
      </c>
      <c r="B32" s="410"/>
      <c r="C32" s="411"/>
      <c r="D32" s="411"/>
      <c r="E32" s="418"/>
      <c r="F32" s="412"/>
      <c r="G32" s="412"/>
      <c r="H32" s="412"/>
      <c r="I32" s="412"/>
      <c r="J32" s="609"/>
      <c r="K32" s="610"/>
      <c r="L32" s="413"/>
      <c r="M32" s="413"/>
      <c r="N32" s="413"/>
      <c r="O32" s="611"/>
      <c r="P32" s="612"/>
      <c r="Q32" s="410"/>
      <c r="R32" s="410"/>
      <c r="S32" s="410"/>
      <c r="T32" s="410"/>
      <c r="U32" s="410"/>
      <c r="V32" s="414"/>
      <c r="W32" s="407"/>
      <c r="X32" s="408"/>
      <c r="AA32" s="385" t="str">
        <f t="shared" si="0"/>
        <v>OK</v>
      </c>
      <c r="AG32" s="385" t="b">
        <f>IF(D32=Data!$OL$3,Data!$AP$1, IF(D32=Data!$OL$4,Data!$AP$1, IF(D32=Data!$OL$5,Data!$AQ$1, IF(D32=Data!$OL$6,Data!$AQ$1, IF(D32=Data!$OL$7,Data!$AR$1)))))</f>
        <v>0</v>
      </c>
      <c r="AT32" s="385" t="e">
        <f t="shared" si="1"/>
        <v>#N/A</v>
      </c>
      <c r="AW32" s="385" t="str">
        <f t="shared" si="2"/>
        <v>CordlockNoCordless</v>
      </c>
    </row>
    <row r="33" spans="1:49" ht="30" customHeight="1">
      <c r="A33" s="415">
        <v>26</v>
      </c>
      <c r="B33" s="410"/>
      <c r="C33" s="411"/>
      <c r="D33" s="411"/>
      <c r="E33" s="418"/>
      <c r="F33" s="412"/>
      <c r="G33" s="412"/>
      <c r="H33" s="412"/>
      <c r="I33" s="412"/>
      <c r="J33" s="609"/>
      <c r="K33" s="610"/>
      <c r="L33" s="413"/>
      <c r="M33" s="413"/>
      <c r="N33" s="413"/>
      <c r="O33" s="611"/>
      <c r="P33" s="612"/>
      <c r="Q33" s="410"/>
      <c r="R33" s="410"/>
      <c r="S33" s="410"/>
      <c r="T33" s="410"/>
      <c r="U33" s="410"/>
      <c r="V33" s="414"/>
      <c r="W33" s="407"/>
      <c r="X33" s="408"/>
      <c r="AA33" s="385" t="str">
        <f t="shared" si="0"/>
        <v>OK</v>
      </c>
      <c r="AG33" s="385" t="b">
        <f>IF(D33=Data!$OL$3,Data!$AP$1, IF(D33=Data!$OL$4,Data!$AP$1, IF(D33=Data!$OL$5,Data!$AQ$1, IF(D33=Data!$OL$6,Data!$AQ$1, IF(D33=Data!$OL$7,Data!$AR$1)))))</f>
        <v>0</v>
      </c>
      <c r="AT33" s="385" t="e">
        <f t="shared" si="1"/>
        <v>#N/A</v>
      </c>
      <c r="AW33" s="385" t="str">
        <f t="shared" si="2"/>
        <v>CordlockNoCordless</v>
      </c>
    </row>
    <row r="34" spans="1:49" ht="30" customHeight="1">
      <c r="A34" s="415">
        <v>27</v>
      </c>
      <c r="B34" s="419"/>
      <c r="C34" s="416"/>
      <c r="D34" s="411"/>
      <c r="E34" s="418"/>
      <c r="F34" s="412"/>
      <c r="G34" s="412"/>
      <c r="H34" s="412"/>
      <c r="I34" s="412"/>
      <c r="J34" s="609"/>
      <c r="K34" s="610"/>
      <c r="L34" s="413"/>
      <c r="M34" s="413"/>
      <c r="N34" s="413"/>
      <c r="O34" s="611"/>
      <c r="P34" s="612"/>
      <c r="Q34" s="410"/>
      <c r="R34" s="410"/>
      <c r="S34" s="410"/>
      <c r="T34" s="410"/>
      <c r="U34" s="410"/>
      <c r="V34" s="414"/>
      <c r="W34" s="407"/>
      <c r="X34" s="408"/>
      <c r="AA34" s="385" t="str">
        <f t="shared" si="0"/>
        <v>OK</v>
      </c>
      <c r="AG34" s="385" t="b">
        <f>IF(D34=Data!$OL$3,Data!$AP$1, IF(D34=Data!$OL$4,Data!$AP$1, IF(D34=Data!$OL$5,Data!$AQ$1, IF(D34=Data!$OL$6,Data!$AQ$1, IF(D34=Data!$OL$7,Data!$AR$1)))))</f>
        <v>0</v>
      </c>
      <c r="AT34" s="385" t="e">
        <f t="shared" si="1"/>
        <v>#N/A</v>
      </c>
      <c r="AW34" s="385" t="str">
        <f t="shared" si="2"/>
        <v>CordlockNoCordless</v>
      </c>
    </row>
    <row r="35" spans="1:49" ht="30" customHeight="1">
      <c r="A35" s="415">
        <v>28</v>
      </c>
      <c r="B35" s="410"/>
      <c r="C35" s="411"/>
      <c r="D35" s="411"/>
      <c r="E35" s="418"/>
      <c r="F35" s="412"/>
      <c r="G35" s="412"/>
      <c r="H35" s="412"/>
      <c r="I35" s="412"/>
      <c r="J35" s="609"/>
      <c r="K35" s="610"/>
      <c r="L35" s="413"/>
      <c r="M35" s="413"/>
      <c r="N35" s="413"/>
      <c r="O35" s="611"/>
      <c r="P35" s="612"/>
      <c r="Q35" s="410"/>
      <c r="R35" s="410"/>
      <c r="S35" s="410"/>
      <c r="T35" s="410"/>
      <c r="U35" s="410"/>
      <c r="V35" s="414"/>
      <c r="W35" s="407"/>
      <c r="X35" s="408"/>
      <c r="AA35" s="385" t="str">
        <f t="shared" si="0"/>
        <v>OK</v>
      </c>
      <c r="AG35" s="385" t="b">
        <f>IF(D35=Data!$OL$3,Data!$AP$1, IF(D35=Data!$OL$4,Data!$AP$1, IF(D35=Data!$OL$5,Data!$AQ$1, IF(D35=Data!$OL$6,Data!$AQ$1, IF(D35=Data!$OL$7,Data!$AR$1)))))</f>
        <v>0</v>
      </c>
      <c r="AT35" s="385" t="e">
        <f t="shared" si="1"/>
        <v>#N/A</v>
      </c>
      <c r="AW35" s="385" t="str">
        <f t="shared" si="2"/>
        <v>CordlockNoCordless</v>
      </c>
    </row>
    <row r="36" spans="1:49" ht="30" customHeight="1">
      <c r="A36" s="415">
        <v>29</v>
      </c>
      <c r="B36" s="410"/>
      <c r="C36" s="411"/>
      <c r="D36" s="411"/>
      <c r="E36" s="418"/>
      <c r="F36" s="412"/>
      <c r="G36" s="412"/>
      <c r="H36" s="412"/>
      <c r="I36" s="412"/>
      <c r="J36" s="609"/>
      <c r="K36" s="610"/>
      <c r="L36" s="413"/>
      <c r="M36" s="413"/>
      <c r="N36" s="413"/>
      <c r="O36" s="611"/>
      <c r="P36" s="612"/>
      <c r="Q36" s="410"/>
      <c r="R36" s="410"/>
      <c r="S36" s="410"/>
      <c r="T36" s="410"/>
      <c r="U36" s="410"/>
      <c r="V36" s="414"/>
      <c r="W36" s="407"/>
      <c r="X36" s="408"/>
      <c r="AA36" s="385" t="str">
        <f t="shared" si="0"/>
        <v>OK</v>
      </c>
      <c r="AG36" s="385" t="b">
        <f>IF(D36=Data!$OL$3,Data!$AP$1, IF(D36=Data!$OL$4,Data!$AP$1, IF(D36=Data!$OL$5,Data!$AQ$1, IF(D36=Data!$OL$6,Data!$AQ$1, IF(D36=Data!$OL$7,Data!$AR$1)))))</f>
        <v>0</v>
      </c>
      <c r="AT36" s="385" t="e">
        <f t="shared" si="1"/>
        <v>#N/A</v>
      </c>
      <c r="AW36" s="385" t="str">
        <f t="shared" si="2"/>
        <v>CordlockNoCordless</v>
      </c>
    </row>
    <row r="37" spans="1:49" ht="30" customHeight="1">
      <c r="A37" s="415">
        <v>30</v>
      </c>
      <c r="B37" s="410"/>
      <c r="C37" s="410"/>
      <c r="D37" s="410"/>
      <c r="E37" s="410"/>
      <c r="F37" s="412"/>
      <c r="G37" s="412"/>
      <c r="H37" s="412"/>
      <c r="I37" s="412"/>
      <c r="J37" s="609"/>
      <c r="K37" s="610"/>
      <c r="L37" s="413"/>
      <c r="M37" s="413"/>
      <c r="N37" s="413"/>
      <c r="O37" s="611"/>
      <c r="P37" s="612"/>
      <c r="Q37" s="410"/>
      <c r="R37" s="410"/>
      <c r="S37" s="410"/>
      <c r="T37" s="410"/>
      <c r="U37" s="410"/>
      <c r="V37" s="414"/>
      <c r="W37" s="407"/>
      <c r="X37" s="408"/>
      <c r="AA37" s="385" t="str">
        <f t="shared" si="0"/>
        <v>OK</v>
      </c>
      <c r="AG37" s="385" t="b">
        <f>IF(D37=Data!$OL$3,Data!$AP$1, IF(D37=Data!$OL$4,Data!$AP$1, IF(D37=Data!$OL$5,Data!$AQ$1, IF(D37=Data!$OL$6,Data!$AQ$1, IF(D37=Data!$OL$7,Data!$AR$1)))))</f>
        <v>0</v>
      </c>
      <c r="AT37" s="385" t="e">
        <f t="shared" si="1"/>
        <v>#N/A</v>
      </c>
      <c r="AW37" s="385" t="str">
        <f t="shared" si="2"/>
        <v>CordlockNoCordless</v>
      </c>
    </row>
    <row r="38" spans="1:49" ht="30" customHeight="1">
      <c r="A38" s="415">
        <v>31</v>
      </c>
      <c r="B38" s="410"/>
      <c r="C38" s="410"/>
      <c r="D38" s="410"/>
      <c r="E38" s="410"/>
      <c r="F38" s="412"/>
      <c r="G38" s="412"/>
      <c r="H38" s="412"/>
      <c r="I38" s="412"/>
      <c r="J38" s="609"/>
      <c r="K38" s="610"/>
      <c r="L38" s="413"/>
      <c r="M38" s="413"/>
      <c r="N38" s="413"/>
      <c r="O38" s="611"/>
      <c r="P38" s="612"/>
      <c r="Q38" s="410"/>
      <c r="R38" s="410"/>
      <c r="S38" s="410"/>
      <c r="T38" s="410"/>
      <c r="U38" s="410"/>
      <c r="V38" s="414"/>
      <c r="W38" s="407"/>
      <c r="X38" s="408"/>
      <c r="AA38" s="385" t="str">
        <f t="shared" si="0"/>
        <v>OK</v>
      </c>
      <c r="AG38" s="385" t="b">
        <f>IF(D38=Data!$OL$3,Data!$AP$1, IF(D38=Data!$OL$4,Data!$AP$1, IF(D38=Data!$OL$5,Data!$AQ$1, IF(D38=Data!$OL$6,Data!$AQ$1, IF(D38=Data!$OL$7,Data!$AR$1)))))</f>
        <v>0</v>
      </c>
      <c r="AT38" s="385" t="e">
        <f t="shared" si="1"/>
        <v>#N/A</v>
      </c>
      <c r="AW38" s="385" t="str">
        <f t="shared" si="2"/>
        <v>CordlockNoCordless</v>
      </c>
    </row>
    <row r="39" spans="1:49" ht="30" customHeight="1">
      <c r="A39" s="415">
        <v>32</v>
      </c>
      <c r="B39" s="410"/>
      <c r="C39" s="411"/>
      <c r="D39" s="411"/>
      <c r="E39" s="417"/>
      <c r="F39" s="412"/>
      <c r="G39" s="412"/>
      <c r="H39" s="412"/>
      <c r="I39" s="412"/>
      <c r="J39" s="609"/>
      <c r="K39" s="610"/>
      <c r="L39" s="413"/>
      <c r="M39" s="413"/>
      <c r="N39" s="413"/>
      <c r="O39" s="611"/>
      <c r="P39" s="612"/>
      <c r="Q39" s="410"/>
      <c r="R39" s="410"/>
      <c r="S39" s="410"/>
      <c r="T39" s="410"/>
      <c r="U39" s="410"/>
      <c r="V39" s="414"/>
      <c r="W39" s="407"/>
      <c r="X39" s="408"/>
      <c r="AA39" s="385" t="str">
        <f t="shared" si="0"/>
        <v>OK</v>
      </c>
      <c r="AG39" s="385" t="b">
        <f>IF(D39=Data!$OL$3,Data!$AP$1, IF(D39=Data!$OL$4,Data!$AP$1, IF(D39=Data!$OL$5,Data!$AQ$1, IF(D39=Data!$OL$6,Data!$AQ$1, IF(D39=Data!$OL$7,Data!$AR$1)))))</f>
        <v>0</v>
      </c>
      <c r="AT39" s="385" t="e">
        <f t="shared" si="1"/>
        <v>#N/A</v>
      </c>
      <c r="AW39" s="385" t="str">
        <f t="shared" si="2"/>
        <v>CordlockNoCordless</v>
      </c>
    </row>
    <row r="40" spans="1:49" ht="30" customHeight="1">
      <c r="A40" s="415">
        <v>33</v>
      </c>
      <c r="B40" s="410"/>
      <c r="C40" s="411"/>
      <c r="D40" s="410"/>
      <c r="E40" s="410"/>
      <c r="F40" s="412"/>
      <c r="G40" s="412"/>
      <c r="H40" s="412"/>
      <c r="I40" s="412"/>
      <c r="J40" s="609"/>
      <c r="K40" s="610"/>
      <c r="L40" s="413"/>
      <c r="M40" s="413"/>
      <c r="N40" s="413"/>
      <c r="O40" s="611"/>
      <c r="P40" s="612"/>
      <c r="Q40" s="410"/>
      <c r="R40" s="410"/>
      <c r="S40" s="410"/>
      <c r="T40" s="410"/>
      <c r="U40" s="410"/>
      <c r="V40" s="414"/>
      <c r="W40" s="407"/>
      <c r="X40" s="408"/>
      <c r="AA40" s="385" t="str">
        <f t="shared" si="0"/>
        <v>OK</v>
      </c>
      <c r="AG40" s="385" t="b">
        <f>IF(D40=Data!$OL$3,Data!$AP$1, IF(D40=Data!$OL$4,Data!$AP$1, IF(D40=Data!$OL$5,Data!$AQ$1, IF(D40=Data!$OL$6,Data!$AQ$1, IF(D40=Data!$OL$7,Data!$AR$1)))))</f>
        <v>0</v>
      </c>
      <c r="AT40" s="385" t="e">
        <f t="shared" si="1"/>
        <v>#N/A</v>
      </c>
      <c r="AW40" s="385" t="str">
        <f t="shared" si="2"/>
        <v>CordlockNoCordless</v>
      </c>
    </row>
    <row r="41" spans="1:49" ht="30" customHeight="1">
      <c r="A41" s="415">
        <v>34</v>
      </c>
      <c r="B41" s="410"/>
      <c r="C41" s="411"/>
      <c r="D41" s="410"/>
      <c r="E41" s="410"/>
      <c r="F41" s="412"/>
      <c r="G41" s="412"/>
      <c r="H41" s="412"/>
      <c r="I41" s="412"/>
      <c r="J41" s="609"/>
      <c r="K41" s="610"/>
      <c r="L41" s="413"/>
      <c r="M41" s="413"/>
      <c r="N41" s="413"/>
      <c r="O41" s="611"/>
      <c r="P41" s="612"/>
      <c r="Q41" s="410"/>
      <c r="R41" s="410"/>
      <c r="S41" s="410"/>
      <c r="T41" s="410"/>
      <c r="U41" s="410"/>
      <c r="V41" s="414"/>
      <c r="W41" s="407"/>
      <c r="X41" s="408"/>
      <c r="AA41" s="385" t="str">
        <f t="shared" si="0"/>
        <v>OK</v>
      </c>
      <c r="AG41" s="385" t="b">
        <f>IF(D41=Data!$OL$3,Data!$AP$1, IF(D41=Data!$OL$4,Data!$AP$1, IF(D41=Data!$OL$5,Data!$AQ$1, IF(D41=Data!$OL$6,Data!$AQ$1, IF(D41=Data!$OL$7,Data!$AR$1)))))</f>
        <v>0</v>
      </c>
      <c r="AT41" s="385" t="e">
        <f t="shared" si="1"/>
        <v>#N/A</v>
      </c>
      <c r="AW41" s="385" t="str">
        <f t="shared" si="2"/>
        <v>CordlockNoCordless</v>
      </c>
    </row>
    <row r="42" spans="1:49" ht="30" customHeight="1">
      <c r="A42" s="415">
        <v>35</v>
      </c>
      <c r="B42" s="410"/>
      <c r="C42" s="411"/>
      <c r="D42" s="411"/>
      <c r="E42" s="418"/>
      <c r="F42" s="412"/>
      <c r="G42" s="412"/>
      <c r="H42" s="412"/>
      <c r="I42" s="412"/>
      <c r="J42" s="609"/>
      <c r="K42" s="610"/>
      <c r="L42" s="413"/>
      <c r="M42" s="413"/>
      <c r="N42" s="413"/>
      <c r="O42" s="611"/>
      <c r="P42" s="612"/>
      <c r="Q42" s="410"/>
      <c r="R42" s="410"/>
      <c r="S42" s="410"/>
      <c r="T42" s="410"/>
      <c r="U42" s="410"/>
      <c r="V42" s="414"/>
      <c r="W42" s="407"/>
      <c r="X42" s="408"/>
      <c r="AA42" s="385" t="str">
        <f t="shared" si="0"/>
        <v>OK</v>
      </c>
      <c r="AG42" s="385" t="b">
        <f>IF(D42=Data!$OL$3,Data!$AP$1, IF(D42=Data!$OL$4,Data!$AP$1, IF(D42=Data!$OL$5,Data!$AQ$1, IF(D42=Data!$OL$6,Data!$AQ$1, IF(D42=Data!$OL$7,Data!$AR$1)))))</f>
        <v>0</v>
      </c>
      <c r="AT42" s="385" t="e">
        <f t="shared" si="1"/>
        <v>#N/A</v>
      </c>
      <c r="AW42" s="385" t="str">
        <f t="shared" si="2"/>
        <v>CordlockNoCordless</v>
      </c>
    </row>
    <row r="43" spans="1:49" ht="30" customHeight="1">
      <c r="A43" s="415">
        <v>36</v>
      </c>
      <c r="B43" s="410"/>
      <c r="C43" s="411"/>
      <c r="D43" s="411"/>
      <c r="E43" s="410"/>
      <c r="F43" s="412"/>
      <c r="G43" s="412"/>
      <c r="H43" s="412"/>
      <c r="I43" s="412"/>
      <c r="J43" s="609"/>
      <c r="K43" s="610"/>
      <c r="L43" s="413"/>
      <c r="M43" s="413"/>
      <c r="N43" s="413"/>
      <c r="O43" s="611"/>
      <c r="P43" s="612"/>
      <c r="Q43" s="410"/>
      <c r="R43" s="410"/>
      <c r="S43" s="410"/>
      <c r="T43" s="410"/>
      <c r="U43" s="410"/>
      <c r="V43" s="414"/>
      <c r="W43" s="407"/>
      <c r="X43" s="408"/>
      <c r="AA43" s="385" t="str">
        <f t="shared" si="0"/>
        <v>OK</v>
      </c>
      <c r="AG43" s="385" t="b">
        <f>IF(D43=Data!$OL$3,Data!$AP$1, IF(D43=Data!$OL$4,Data!$AP$1, IF(D43=Data!$OL$5,Data!$AQ$1, IF(D43=Data!$OL$6,Data!$AQ$1, IF(D43=Data!$OL$7,Data!$AR$1)))))</f>
        <v>0</v>
      </c>
      <c r="AT43" s="385" t="e">
        <f t="shared" si="1"/>
        <v>#N/A</v>
      </c>
      <c r="AW43" s="385" t="str">
        <f t="shared" si="2"/>
        <v>CordlockNoCordless</v>
      </c>
    </row>
    <row r="44" spans="1:49" ht="30" customHeight="1">
      <c r="A44" s="415">
        <v>37</v>
      </c>
      <c r="B44" s="410"/>
      <c r="C44" s="411"/>
      <c r="D44" s="411"/>
      <c r="E44" s="417"/>
      <c r="F44" s="412"/>
      <c r="G44" s="412"/>
      <c r="H44" s="412"/>
      <c r="I44" s="412"/>
      <c r="J44" s="609"/>
      <c r="K44" s="610"/>
      <c r="L44" s="413"/>
      <c r="M44" s="413"/>
      <c r="N44" s="413"/>
      <c r="O44" s="611"/>
      <c r="P44" s="612"/>
      <c r="Q44" s="410"/>
      <c r="R44" s="410"/>
      <c r="S44" s="410"/>
      <c r="T44" s="410"/>
      <c r="U44" s="410"/>
      <c r="V44" s="414"/>
      <c r="W44" s="407"/>
      <c r="X44" s="408"/>
      <c r="AA44" s="385" t="str">
        <f t="shared" si="0"/>
        <v>OK</v>
      </c>
      <c r="AG44" s="385" t="b">
        <f>IF(D44=Data!$OL$3,Data!$AP$1, IF(D44=Data!$OL$4,Data!$AP$1, IF(D44=Data!$OL$5,Data!$AQ$1, IF(D44=Data!$OL$6,Data!$AQ$1, IF(D44=Data!$OL$7,Data!$AR$1)))))</f>
        <v>0</v>
      </c>
      <c r="AT44" s="385" t="e">
        <f t="shared" si="1"/>
        <v>#N/A</v>
      </c>
      <c r="AW44" s="385" t="str">
        <f t="shared" si="2"/>
        <v>CordlockNoCordless</v>
      </c>
    </row>
    <row r="45" spans="1:49" ht="30" customHeight="1">
      <c r="A45" s="415">
        <v>38</v>
      </c>
      <c r="B45" s="410"/>
      <c r="C45" s="411"/>
      <c r="D45" s="411"/>
      <c r="E45" s="410"/>
      <c r="F45" s="412"/>
      <c r="G45" s="412"/>
      <c r="H45" s="412"/>
      <c r="I45" s="412"/>
      <c r="J45" s="609"/>
      <c r="K45" s="610"/>
      <c r="L45" s="413"/>
      <c r="M45" s="413"/>
      <c r="N45" s="413"/>
      <c r="O45" s="611"/>
      <c r="P45" s="612"/>
      <c r="Q45" s="410"/>
      <c r="R45" s="410"/>
      <c r="S45" s="410"/>
      <c r="T45" s="410"/>
      <c r="U45" s="410"/>
      <c r="V45" s="414"/>
      <c r="W45" s="407"/>
      <c r="X45" s="408"/>
      <c r="AA45" s="385" t="str">
        <f t="shared" si="0"/>
        <v>OK</v>
      </c>
      <c r="AG45" s="385" t="b">
        <f>IF(D45=Data!$OL$3,Data!$AP$1, IF(D45=Data!$OL$4,Data!$AP$1, IF(D45=Data!$OL$5,Data!$AQ$1, IF(D45=Data!$OL$6,Data!$AQ$1, IF(D45=Data!$OL$7,Data!$AR$1)))))</f>
        <v>0</v>
      </c>
      <c r="AT45" s="385" t="e">
        <f t="shared" si="1"/>
        <v>#N/A</v>
      </c>
      <c r="AW45" s="385" t="str">
        <f t="shared" si="2"/>
        <v>CordlockNoCordless</v>
      </c>
    </row>
    <row r="46" spans="1:49" ht="30" customHeight="1">
      <c r="A46" s="415">
        <v>39</v>
      </c>
      <c r="B46" s="410"/>
      <c r="C46" s="411"/>
      <c r="D46" s="411"/>
      <c r="E46" s="410"/>
      <c r="F46" s="412"/>
      <c r="G46" s="412"/>
      <c r="H46" s="412"/>
      <c r="I46" s="412"/>
      <c r="J46" s="609"/>
      <c r="K46" s="610"/>
      <c r="L46" s="413"/>
      <c r="M46" s="413"/>
      <c r="N46" s="413"/>
      <c r="O46" s="611"/>
      <c r="P46" s="612"/>
      <c r="Q46" s="410"/>
      <c r="R46" s="410"/>
      <c r="S46" s="410"/>
      <c r="T46" s="410"/>
      <c r="U46" s="410"/>
      <c r="V46" s="414"/>
      <c r="W46" s="407"/>
      <c r="X46" s="408"/>
      <c r="AA46" s="385" t="str">
        <f t="shared" si="0"/>
        <v>OK</v>
      </c>
      <c r="AG46" s="385" t="b">
        <f>IF(D46=Data!$OL$3,Data!$AP$1, IF(D46=Data!$OL$4,Data!$AP$1, IF(D46=Data!$OL$5,Data!$AQ$1, IF(D46=Data!$OL$6,Data!$AQ$1, IF(D46=Data!$OL$7,Data!$AR$1)))))</f>
        <v>0</v>
      </c>
      <c r="AT46" s="385" t="e">
        <f t="shared" si="1"/>
        <v>#N/A</v>
      </c>
      <c r="AW46" s="385" t="str">
        <f t="shared" si="2"/>
        <v>CordlockNoCordless</v>
      </c>
    </row>
    <row r="47" spans="1:49" ht="30" customHeight="1">
      <c r="A47" s="415">
        <v>40</v>
      </c>
      <c r="B47" s="419"/>
      <c r="C47" s="410"/>
      <c r="D47" s="420"/>
      <c r="E47" s="417"/>
      <c r="F47" s="412"/>
      <c r="G47" s="412"/>
      <c r="H47" s="412"/>
      <c r="I47" s="412"/>
      <c r="J47" s="609"/>
      <c r="K47" s="610"/>
      <c r="L47" s="413"/>
      <c r="M47" s="413"/>
      <c r="N47" s="413"/>
      <c r="O47" s="611"/>
      <c r="P47" s="612"/>
      <c r="Q47" s="410"/>
      <c r="R47" s="410"/>
      <c r="S47" s="410"/>
      <c r="T47" s="410"/>
      <c r="U47" s="410"/>
      <c r="V47" s="414"/>
      <c r="W47" s="407"/>
      <c r="X47" s="408"/>
      <c r="AA47" s="385" t="str">
        <f t="shared" si="0"/>
        <v>OK</v>
      </c>
      <c r="AG47" s="385" t="b">
        <f>IF(D47=Data!$OL$3,Data!$AP$1, IF(D47=Data!$OL$4,Data!$AP$1, IF(D47=Data!$OL$5,Data!$AQ$1, IF(D47=Data!$OL$6,Data!$AQ$1, IF(D47=Data!$OL$7,Data!$AR$1)))))</f>
        <v>0</v>
      </c>
      <c r="AT47" s="385" t="e">
        <f t="shared" si="1"/>
        <v>#N/A</v>
      </c>
      <c r="AW47" s="385" t="str">
        <f t="shared" si="2"/>
        <v>CordlockNoCordless</v>
      </c>
    </row>
    <row r="48" spans="1:49" ht="30" customHeight="1">
      <c r="A48" s="415">
        <v>41</v>
      </c>
      <c r="B48" s="410"/>
      <c r="C48" s="421"/>
      <c r="D48" s="411"/>
      <c r="E48" s="410"/>
      <c r="F48" s="412"/>
      <c r="G48" s="412"/>
      <c r="H48" s="412"/>
      <c r="I48" s="412"/>
      <c r="J48" s="609"/>
      <c r="K48" s="610"/>
      <c r="L48" s="413"/>
      <c r="M48" s="413"/>
      <c r="N48" s="413"/>
      <c r="O48" s="611"/>
      <c r="P48" s="612"/>
      <c r="Q48" s="410"/>
      <c r="R48" s="410"/>
      <c r="S48" s="410"/>
      <c r="T48" s="410"/>
      <c r="U48" s="410"/>
      <c r="V48" s="414"/>
      <c r="W48" s="407"/>
      <c r="X48" s="408"/>
      <c r="AA48" s="385" t="str">
        <f t="shared" si="0"/>
        <v>OK</v>
      </c>
      <c r="AG48" s="385" t="b">
        <f>IF(D48=Data!$OL$3,Data!$AP$1, IF(D48=Data!$OL$4,Data!$AP$1, IF(D48=Data!$OL$5,Data!$AQ$1, IF(D48=Data!$OL$6,Data!$AQ$1, IF(D48=Data!$OL$7,Data!$AR$1)))))</f>
        <v>0</v>
      </c>
      <c r="AT48" s="385" t="e">
        <f t="shared" si="1"/>
        <v>#N/A</v>
      </c>
      <c r="AW48" s="385" t="str">
        <f t="shared" si="2"/>
        <v>CordlockNoCordless</v>
      </c>
    </row>
    <row r="49" spans="1:49" ht="30" customHeight="1">
      <c r="A49" s="415">
        <v>42</v>
      </c>
      <c r="B49" s="410"/>
      <c r="C49" s="421"/>
      <c r="D49" s="411"/>
      <c r="E49" s="410"/>
      <c r="F49" s="412"/>
      <c r="G49" s="412"/>
      <c r="H49" s="412"/>
      <c r="I49" s="412"/>
      <c r="J49" s="609"/>
      <c r="K49" s="610"/>
      <c r="L49" s="413"/>
      <c r="M49" s="413"/>
      <c r="N49" s="413"/>
      <c r="O49" s="611"/>
      <c r="P49" s="612"/>
      <c r="Q49" s="410"/>
      <c r="R49" s="410"/>
      <c r="S49" s="410"/>
      <c r="T49" s="410"/>
      <c r="U49" s="410"/>
      <c r="V49" s="414"/>
      <c r="W49" s="407"/>
      <c r="X49" s="408"/>
      <c r="AA49" s="385" t="str">
        <f t="shared" si="0"/>
        <v>OK</v>
      </c>
      <c r="AG49" s="385" t="b">
        <f>IF(D49=Data!$OL$3,Data!$AP$1, IF(D49=Data!$OL$4,Data!$AP$1, IF(D49=Data!$OL$5,Data!$AQ$1, IF(D49=Data!$OL$6,Data!$AQ$1, IF(D49=Data!$OL$7,Data!$AR$1)))))</f>
        <v>0</v>
      </c>
      <c r="AT49" s="385" t="e">
        <f t="shared" si="1"/>
        <v>#N/A</v>
      </c>
      <c r="AW49" s="385" t="str">
        <f t="shared" si="2"/>
        <v>CordlockNoCordless</v>
      </c>
    </row>
    <row r="50" spans="1:49" ht="30" customHeight="1">
      <c r="A50" s="415">
        <v>43</v>
      </c>
      <c r="B50" s="410"/>
      <c r="C50" s="421"/>
      <c r="D50" s="411"/>
      <c r="E50" s="410"/>
      <c r="F50" s="412"/>
      <c r="G50" s="412"/>
      <c r="H50" s="412"/>
      <c r="I50" s="412"/>
      <c r="J50" s="609"/>
      <c r="K50" s="610"/>
      <c r="L50" s="413"/>
      <c r="M50" s="413"/>
      <c r="N50" s="413"/>
      <c r="O50" s="611"/>
      <c r="P50" s="612"/>
      <c r="Q50" s="410"/>
      <c r="R50" s="410"/>
      <c r="S50" s="410"/>
      <c r="T50" s="410"/>
      <c r="U50" s="410"/>
      <c r="V50" s="414"/>
      <c r="W50" s="407"/>
      <c r="X50" s="408"/>
      <c r="AA50" s="385" t="str">
        <f t="shared" si="0"/>
        <v>OK</v>
      </c>
      <c r="AG50" s="385" t="b">
        <f>IF(D50=Data!$OL$3,Data!$AP$1, IF(D50=Data!$OL$4,Data!$AP$1, IF(D50=Data!$OL$5,Data!$AQ$1, IF(D50=Data!$OL$6,Data!$AQ$1, IF(D50=Data!$OL$7,Data!$AR$1)))))</f>
        <v>0</v>
      </c>
      <c r="AT50" s="385" t="e">
        <f t="shared" si="1"/>
        <v>#N/A</v>
      </c>
      <c r="AW50" s="385" t="str">
        <f t="shared" si="2"/>
        <v>CordlockNoCordless</v>
      </c>
    </row>
    <row r="51" spans="1:49" ht="30" customHeight="1">
      <c r="A51" s="415">
        <v>44</v>
      </c>
      <c r="B51" s="410"/>
      <c r="C51" s="421"/>
      <c r="D51" s="411"/>
      <c r="E51" s="417"/>
      <c r="F51" s="412"/>
      <c r="G51" s="412"/>
      <c r="H51" s="412"/>
      <c r="I51" s="412"/>
      <c r="J51" s="609"/>
      <c r="K51" s="610"/>
      <c r="L51" s="413"/>
      <c r="M51" s="413"/>
      <c r="N51" s="413"/>
      <c r="O51" s="611"/>
      <c r="P51" s="612"/>
      <c r="Q51" s="410"/>
      <c r="R51" s="410"/>
      <c r="S51" s="410"/>
      <c r="T51" s="410"/>
      <c r="U51" s="410"/>
      <c r="V51" s="414"/>
      <c r="W51" s="407"/>
      <c r="X51" s="408"/>
      <c r="AA51" s="385" t="str">
        <f t="shared" si="0"/>
        <v>OK</v>
      </c>
      <c r="AG51" s="385" t="b">
        <f>IF(D51=Data!$OL$3,Data!$AP$1, IF(D51=Data!$OL$4,Data!$AP$1, IF(D51=Data!$OL$5,Data!$AQ$1, IF(D51=Data!$OL$6,Data!$AQ$1, IF(D51=Data!$OL$7,Data!$AR$1)))))</f>
        <v>0</v>
      </c>
      <c r="AT51" s="385" t="e">
        <f t="shared" si="1"/>
        <v>#N/A</v>
      </c>
      <c r="AW51" s="385" t="str">
        <f t="shared" si="2"/>
        <v>CordlockNoCordless</v>
      </c>
    </row>
    <row r="52" spans="1:49" ht="30" customHeight="1">
      <c r="A52" s="415">
        <v>45</v>
      </c>
      <c r="B52" s="410"/>
      <c r="C52" s="421"/>
      <c r="D52" s="411"/>
      <c r="E52" s="410"/>
      <c r="F52" s="412"/>
      <c r="G52" s="412"/>
      <c r="H52" s="412"/>
      <c r="I52" s="412"/>
      <c r="J52" s="609"/>
      <c r="K52" s="610"/>
      <c r="L52" s="413"/>
      <c r="M52" s="413"/>
      <c r="N52" s="413"/>
      <c r="O52" s="611"/>
      <c r="P52" s="612"/>
      <c r="Q52" s="410"/>
      <c r="R52" s="410"/>
      <c r="S52" s="410"/>
      <c r="T52" s="410"/>
      <c r="U52" s="410"/>
      <c r="V52" s="414"/>
      <c r="W52" s="407"/>
      <c r="X52" s="408"/>
      <c r="AA52" s="385" t="str">
        <f t="shared" si="0"/>
        <v>OK</v>
      </c>
      <c r="AG52" s="385" t="b">
        <f>IF(D52=Data!$OL$3,Data!$AP$1, IF(D52=Data!$OL$4,Data!$AP$1, IF(D52=Data!$OL$5,Data!$AQ$1, IF(D52=Data!$OL$6,Data!$AQ$1, IF(D52=Data!$OL$7,Data!$AR$1)))))</f>
        <v>0</v>
      </c>
      <c r="AT52" s="385" t="e">
        <f t="shared" si="1"/>
        <v>#N/A</v>
      </c>
      <c r="AW52" s="385" t="str">
        <f t="shared" si="2"/>
        <v>CordlockNoCordless</v>
      </c>
    </row>
    <row r="53" spans="1:49" ht="30" customHeight="1">
      <c r="A53" s="415">
        <v>46</v>
      </c>
      <c r="B53" s="419"/>
      <c r="C53" s="421"/>
      <c r="D53" s="411"/>
      <c r="E53" s="417"/>
      <c r="F53" s="412"/>
      <c r="G53" s="412"/>
      <c r="H53" s="412"/>
      <c r="I53" s="412"/>
      <c r="J53" s="609"/>
      <c r="K53" s="610"/>
      <c r="L53" s="413"/>
      <c r="M53" s="413"/>
      <c r="N53" s="413"/>
      <c r="O53" s="611"/>
      <c r="P53" s="612"/>
      <c r="Q53" s="410"/>
      <c r="R53" s="410"/>
      <c r="S53" s="410"/>
      <c r="T53" s="410"/>
      <c r="U53" s="410"/>
      <c r="V53" s="414"/>
      <c r="W53" s="407"/>
      <c r="X53" s="408"/>
      <c r="AA53" s="385" t="str">
        <f t="shared" si="0"/>
        <v>OK</v>
      </c>
      <c r="AG53" s="385" t="b">
        <f>IF(D53=Data!$OL$3,Data!$AP$1, IF(D53=Data!$OL$4,Data!$AP$1, IF(D53=Data!$OL$5,Data!$AQ$1, IF(D53=Data!$OL$6,Data!$AQ$1, IF(D53=Data!$OL$7,Data!$AR$1)))))</f>
        <v>0</v>
      </c>
      <c r="AT53" s="385" t="e">
        <f t="shared" si="1"/>
        <v>#N/A</v>
      </c>
      <c r="AW53" s="385" t="str">
        <f t="shared" si="2"/>
        <v>CordlockNoCordless</v>
      </c>
    </row>
    <row r="54" spans="1:49" ht="30" customHeight="1">
      <c r="A54" s="415">
        <v>47</v>
      </c>
      <c r="B54" s="410"/>
      <c r="C54" s="421"/>
      <c r="D54" s="411"/>
      <c r="E54" s="418"/>
      <c r="F54" s="412"/>
      <c r="G54" s="412"/>
      <c r="H54" s="412"/>
      <c r="I54" s="412"/>
      <c r="J54" s="609"/>
      <c r="K54" s="610"/>
      <c r="L54" s="413"/>
      <c r="M54" s="413"/>
      <c r="N54" s="413"/>
      <c r="O54" s="611"/>
      <c r="P54" s="612"/>
      <c r="Q54" s="410"/>
      <c r="R54" s="410"/>
      <c r="S54" s="410"/>
      <c r="T54" s="410"/>
      <c r="U54" s="410"/>
      <c r="V54" s="414"/>
      <c r="W54" s="407"/>
      <c r="X54" s="408"/>
      <c r="AA54" s="385" t="str">
        <f t="shared" si="0"/>
        <v>OK</v>
      </c>
      <c r="AG54" s="385" t="b">
        <f>IF(D54=Data!$OL$3,Data!$AP$1, IF(D54=Data!$OL$4,Data!$AP$1, IF(D54=Data!$OL$5,Data!$AQ$1, IF(D54=Data!$OL$6,Data!$AQ$1, IF(D54=Data!$OL$7,Data!$AR$1)))))</f>
        <v>0</v>
      </c>
      <c r="AT54" s="385" t="e">
        <f t="shared" si="1"/>
        <v>#N/A</v>
      </c>
      <c r="AW54" s="385" t="str">
        <f t="shared" si="2"/>
        <v>CordlockNoCordless</v>
      </c>
    </row>
    <row r="55" spans="1:49" ht="30" customHeight="1">
      <c r="A55" s="415">
        <v>48</v>
      </c>
      <c r="B55" s="410"/>
      <c r="C55" s="421"/>
      <c r="D55" s="411"/>
      <c r="E55" s="418"/>
      <c r="F55" s="412"/>
      <c r="G55" s="412"/>
      <c r="H55" s="412"/>
      <c r="I55" s="412"/>
      <c r="J55" s="609"/>
      <c r="K55" s="610"/>
      <c r="L55" s="413"/>
      <c r="M55" s="413"/>
      <c r="N55" s="413"/>
      <c r="O55" s="611"/>
      <c r="P55" s="612"/>
      <c r="Q55" s="410"/>
      <c r="R55" s="410"/>
      <c r="S55" s="410"/>
      <c r="T55" s="410"/>
      <c r="U55" s="410"/>
      <c r="V55" s="414"/>
      <c r="W55" s="407"/>
      <c r="X55" s="408"/>
      <c r="AA55" s="385" t="str">
        <f t="shared" si="0"/>
        <v>OK</v>
      </c>
      <c r="AG55" s="385" t="b">
        <f>IF(D55=Data!$OL$3,Data!$AP$1, IF(D55=Data!$OL$4,Data!$AP$1, IF(D55=Data!$OL$5,Data!$AQ$1, IF(D55=Data!$OL$6,Data!$AQ$1, IF(D55=Data!$OL$7,Data!$AR$1)))))</f>
        <v>0</v>
      </c>
      <c r="AT55" s="385" t="e">
        <f t="shared" si="1"/>
        <v>#N/A</v>
      </c>
      <c r="AW55" s="385" t="str">
        <f t="shared" si="2"/>
        <v>CordlockNoCordless</v>
      </c>
    </row>
    <row r="56" spans="1:49" ht="30" customHeight="1">
      <c r="A56" s="415">
        <v>49</v>
      </c>
      <c r="B56" s="410"/>
      <c r="C56" s="421"/>
      <c r="D56" s="411"/>
      <c r="E56" s="410"/>
      <c r="F56" s="412"/>
      <c r="G56" s="412"/>
      <c r="H56" s="412"/>
      <c r="I56" s="412"/>
      <c r="J56" s="609"/>
      <c r="K56" s="610"/>
      <c r="L56" s="413"/>
      <c r="M56" s="413"/>
      <c r="N56" s="413"/>
      <c r="O56" s="611"/>
      <c r="P56" s="612"/>
      <c r="Q56" s="410"/>
      <c r="R56" s="410"/>
      <c r="S56" s="410"/>
      <c r="T56" s="410"/>
      <c r="U56" s="410"/>
      <c r="V56" s="414"/>
      <c r="W56" s="407"/>
      <c r="X56" s="408"/>
      <c r="AA56" s="385" t="str">
        <f t="shared" si="0"/>
        <v>OK</v>
      </c>
      <c r="AG56" s="385" t="b">
        <f>IF(D56=Data!$OL$3,Data!$AP$1, IF(D56=Data!$OL$4,Data!$AP$1, IF(D56=Data!$OL$5,Data!$AQ$1, IF(D56=Data!$OL$6,Data!$AQ$1, IF(D56=Data!$OL$7,Data!$AR$1)))))</f>
        <v>0</v>
      </c>
      <c r="AT56" s="385" t="e">
        <f t="shared" si="1"/>
        <v>#N/A</v>
      </c>
      <c r="AW56" s="385" t="str">
        <f t="shared" si="2"/>
        <v>CordlockNoCordless</v>
      </c>
    </row>
    <row r="57" spans="1:49" ht="30" customHeight="1" thickBot="1">
      <c r="A57" s="422">
        <v>50</v>
      </c>
      <c r="B57" s="423"/>
      <c r="C57" s="424"/>
      <c r="D57" s="425"/>
      <c r="E57" s="423"/>
      <c r="F57" s="426"/>
      <c r="G57" s="426"/>
      <c r="H57" s="426"/>
      <c r="I57" s="426"/>
      <c r="J57" s="605"/>
      <c r="K57" s="606"/>
      <c r="L57" s="427"/>
      <c r="M57" s="427"/>
      <c r="N57" s="427"/>
      <c r="O57" s="607"/>
      <c r="P57" s="608"/>
      <c r="Q57" s="423"/>
      <c r="R57" s="423"/>
      <c r="S57" s="423"/>
      <c r="T57" s="423"/>
      <c r="U57" s="423"/>
      <c r="V57" s="428"/>
      <c r="W57" s="407"/>
      <c r="X57" s="408"/>
      <c r="AA57" s="385" t="str">
        <f t="shared" si="0"/>
        <v>OK</v>
      </c>
      <c r="AG57" s="385" t="b">
        <f>IF(D57=Data!$OL$3,Data!$AP$1, IF(D57=Data!$OL$4,Data!$AP$1, IF(D57=Data!$OL$5,Data!$AQ$1, IF(D57=Data!$OL$6,Data!$AQ$1, IF(D57=Data!$OL$7,Data!$AR$1)))))</f>
        <v>0</v>
      </c>
      <c r="AT57" s="385" t="e">
        <f t="shared" si="1"/>
        <v>#N/A</v>
      </c>
      <c r="AW57" s="385" t="str">
        <f t="shared" si="2"/>
        <v>CordlockNoCordless</v>
      </c>
    </row>
    <row r="58" spans="1:49" ht="15.75" thickTop="1"/>
  </sheetData>
  <sheetProtection algorithmName="SHA-512" hashValue="E5iYvhu567hER7pkz+tkL/Ceb995v6f2qGBhyMPlAkScgHWDaArBNOvB8uAU+k0/P2XfMGCvvgV5EiQxmDzh3w==" saltValue="e/aHZv2Xoq1w7nsIgHVAGQ==" spinCount="100000" sheet="1" objects="1" scenarios="1"/>
  <mergeCells count="129">
    <mergeCell ref="W1:W2"/>
    <mergeCell ref="W4:W5"/>
    <mergeCell ref="X1:X2"/>
    <mergeCell ref="X4:X5"/>
    <mergeCell ref="L1:M1"/>
    <mergeCell ref="N1:U1"/>
    <mergeCell ref="F2:I2"/>
    <mergeCell ref="L2:M2"/>
    <mergeCell ref="N2:U2"/>
    <mergeCell ref="D5:I5"/>
    <mergeCell ref="L5:M5"/>
    <mergeCell ref="N5:U5"/>
    <mergeCell ref="N4:U4"/>
    <mergeCell ref="D4:I4"/>
    <mergeCell ref="J7:K7"/>
    <mergeCell ref="O7:P7"/>
    <mergeCell ref="J8:K8"/>
    <mergeCell ref="O8:P8"/>
    <mergeCell ref="F3:I3"/>
    <mergeCell ref="L3:M3"/>
    <mergeCell ref="N3:U3"/>
    <mergeCell ref="L4:M4"/>
    <mergeCell ref="L6:M6"/>
    <mergeCell ref="N6:U6"/>
    <mergeCell ref="J4:K4"/>
    <mergeCell ref="J5:K5"/>
    <mergeCell ref="A6:K6"/>
    <mergeCell ref="A1:E3"/>
    <mergeCell ref="F1:I1"/>
    <mergeCell ref="J1:K3"/>
    <mergeCell ref="A4:C4"/>
    <mergeCell ref="J12:K12"/>
    <mergeCell ref="O12:P12"/>
    <mergeCell ref="J13:K13"/>
    <mergeCell ref="O13:P13"/>
    <mergeCell ref="J14:K14"/>
    <mergeCell ref="O14:P14"/>
    <mergeCell ref="J9:K9"/>
    <mergeCell ref="O9:P9"/>
    <mergeCell ref="J10:K10"/>
    <mergeCell ref="O10:P10"/>
    <mergeCell ref="J11:K11"/>
    <mergeCell ref="O11:P11"/>
    <mergeCell ref="J18:K18"/>
    <mergeCell ref="O18:P18"/>
    <mergeCell ref="J19:K19"/>
    <mergeCell ref="O19:P19"/>
    <mergeCell ref="J20:K20"/>
    <mergeCell ref="O20:P20"/>
    <mergeCell ref="J15:K15"/>
    <mergeCell ref="O15:P15"/>
    <mergeCell ref="J16:K16"/>
    <mergeCell ref="O16:P16"/>
    <mergeCell ref="J17:K17"/>
    <mergeCell ref="O17:P17"/>
    <mergeCell ref="J24:K24"/>
    <mergeCell ref="O24:P24"/>
    <mergeCell ref="J25:K25"/>
    <mergeCell ref="O25:P25"/>
    <mergeCell ref="J26:K26"/>
    <mergeCell ref="O26:P26"/>
    <mergeCell ref="J21:K21"/>
    <mergeCell ref="O21:P21"/>
    <mergeCell ref="J22:K22"/>
    <mergeCell ref="O22:P22"/>
    <mergeCell ref="J23:K23"/>
    <mergeCell ref="O23:P23"/>
    <mergeCell ref="J30:K30"/>
    <mergeCell ref="O30:P30"/>
    <mergeCell ref="J31:K31"/>
    <mergeCell ref="O31:P31"/>
    <mergeCell ref="J32:K32"/>
    <mergeCell ref="O32:P32"/>
    <mergeCell ref="J27:K27"/>
    <mergeCell ref="O27:P27"/>
    <mergeCell ref="J28:K28"/>
    <mergeCell ref="O28:P28"/>
    <mergeCell ref="J29:K29"/>
    <mergeCell ref="O29:P29"/>
    <mergeCell ref="J36:K36"/>
    <mergeCell ref="O36:P36"/>
    <mergeCell ref="J37:K37"/>
    <mergeCell ref="O37:P37"/>
    <mergeCell ref="J38:K38"/>
    <mergeCell ref="O38:P38"/>
    <mergeCell ref="J33:K33"/>
    <mergeCell ref="O33:P33"/>
    <mergeCell ref="J34:K34"/>
    <mergeCell ref="O34:P34"/>
    <mergeCell ref="J35:K35"/>
    <mergeCell ref="O35:P35"/>
    <mergeCell ref="J42:K42"/>
    <mergeCell ref="O42:P42"/>
    <mergeCell ref="J43:K43"/>
    <mergeCell ref="O43:P43"/>
    <mergeCell ref="J44:K44"/>
    <mergeCell ref="O44:P44"/>
    <mergeCell ref="J39:K39"/>
    <mergeCell ref="O39:P39"/>
    <mergeCell ref="J40:K40"/>
    <mergeCell ref="O40:P40"/>
    <mergeCell ref="J41:K41"/>
    <mergeCell ref="O41:P41"/>
    <mergeCell ref="J48:K48"/>
    <mergeCell ref="O48:P48"/>
    <mergeCell ref="J49:K49"/>
    <mergeCell ref="O49:P49"/>
    <mergeCell ref="J50:K50"/>
    <mergeCell ref="O50:P50"/>
    <mergeCell ref="J45:K45"/>
    <mergeCell ref="O45:P45"/>
    <mergeCell ref="J46:K46"/>
    <mergeCell ref="O46:P46"/>
    <mergeCell ref="J47:K47"/>
    <mergeCell ref="O47:P47"/>
    <mergeCell ref="J57:K57"/>
    <mergeCell ref="O57:P57"/>
    <mergeCell ref="J53:K53"/>
    <mergeCell ref="O53:P53"/>
    <mergeCell ref="J54:K54"/>
    <mergeCell ref="O54:P54"/>
    <mergeCell ref="J55:K55"/>
    <mergeCell ref="O55:P55"/>
    <mergeCell ref="J51:K51"/>
    <mergeCell ref="O51:P51"/>
    <mergeCell ref="J52:K52"/>
    <mergeCell ref="O52:P52"/>
    <mergeCell ref="J56:K56"/>
    <mergeCell ref="O56:P56"/>
  </mergeCells>
  <conditionalFormatting sqref="Q8:Q57">
    <cfRule type="containsText" dxfId="81" priority="9" stopIfTrue="1" operator="containsText" text="Yes">
      <formula>NOT(ISERROR(SEARCH("Yes",Q8)))</formula>
    </cfRule>
  </conditionalFormatting>
  <conditionalFormatting sqref="C8:C47">
    <cfRule type="cellIs" dxfId="80" priority="8" stopIfTrue="1" operator="greaterThan">
      <formula>1</formula>
    </cfRule>
  </conditionalFormatting>
  <conditionalFormatting sqref="N8:N57">
    <cfRule type="expression" dxfId="79" priority="4">
      <formula>AA8="Enter"</formula>
    </cfRule>
  </conditionalFormatting>
  <conditionalFormatting sqref="D8:D57">
    <cfRule type="containsText" dxfId="78" priority="1" operator="containsText" text="63mm PS Privacy Blind">
      <formula>NOT(ISERROR(SEARCH("63mm PS Privacy Blind",D8)))</formula>
    </cfRule>
    <cfRule type="containsText" dxfId="77" priority="3" operator="containsText" text="50mm PS Privacy Blind">
      <formula>NOT(ISERROR(SEARCH("50mm PS Privacy Blind",D8)))</formula>
    </cfRule>
  </conditionalFormatting>
  <conditionalFormatting sqref="N6:U6">
    <cfRule type="notContainsBlanks" dxfId="76" priority="2">
      <formula>LEN(TRIM(N6))&gt;0</formula>
    </cfRule>
  </conditionalFormatting>
  <dataValidations count="16">
    <dataValidation allowBlank="1" showInputMessage="1" errorTitle="Invalid Enrty" error="Please select from List!" sqref="V8:V57" xr:uid="{00000000-0002-0000-0300-000000000000}"/>
    <dataValidation type="list" allowBlank="1" showInputMessage="1" showErrorMessage="1" sqref="I8:I57" xr:uid="{00000000-0002-0000-0300-000001000000}">
      <formula1>"Face Fit, Recess Fit"</formula1>
    </dataValidation>
    <dataValidation type="list" errorStyle="warning" allowBlank="1" showInputMessage="1" showErrorMessage="1" errorTitle="Invalid Entry" error="This is not a standard colour._x000a_Please select from List!" sqref="J8:K57" xr:uid="{00000000-0002-0000-0300-000002000000}">
      <formula1>"NAM, ACT"</formula1>
    </dataValidation>
    <dataValidation type="list" allowBlank="1" showInputMessage="1" showErrorMessage="1" errorTitle="Invalid Entry" error="Please select from List!" sqref="O8:P57" xr:uid="{00000000-0002-0000-0300-000004000000}">
      <formula1>"Standard, Common"</formula1>
    </dataValidation>
    <dataValidation allowBlank="1" showInputMessage="1" showErrorMessage="1" errorTitle="Invalid Entry" error="Please select from List!" sqref="R8:R57 T8:T57" xr:uid="{00000000-0002-0000-0300-000005000000}"/>
    <dataValidation type="list" allowBlank="1" showInputMessage="1" showErrorMessage="1" errorTitle="Invalid Entry" error="Invalid Entry" sqref="D8:D57" xr:uid="{00000000-0002-0000-0300-000006000000}">
      <formula1>VenetianProduct</formula1>
    </dataValidation>
    <dataValidation type="list" allowBlank="1" showInputMessage="1" showErrorMessage="1" errorTitle="Invalid Entry" error="Invalid Entry" sqref="E8:E57" xr:uid="{00000000-0002-0000-0300-000007000000}">
      <formula1>INDIRECT(AG8)</formula1>
    </dataValidation>
    <dataValidation type="list" allowBlank="1" showInputMessage="1" showErrorMessage="1" errorTitle="Invalid Entry" error="Invalid Entry" sqref="Q8:Q57" xr:uid="{00000000-0002-0000-0300-000008000000}">
      <formula1>"No, Yes"</formula1>
    </dataValidation>
    <dataValidation type="whole" errorStyle="warning" allowBlank="1" showInputMessage="1" showErrorMessage="1" errorTitle="Be Aware" error="The Minimum Width is 222mm._x000a__x000a_The Maximum Standard Width is 3000mm. _x000a__x000a_The Maximum Cordless or Timber Width is 2400mm. _x000a__x000a_All openings over the Maximum Widths will require Multiple Blinds." sqref="F8:F57" xr:uid="{00000000-0002-0000-0300-000009000000}">
      <formula1>222</formula1>
      <formula2>3000</formula2>
    </dataValidation>
    <dataValidation type="whole" errorStyle="warning" allowBlank="1" showInputMessage="1" showErrorMessage="1" errorTitle="Be Aware" error="The Minimum Height/Drop is 200mm._x000a__x000a_The Maximum Standard Height/Drop is 3000mm. _x000a__x000a_The Maximum Cordless or Timber Height/Drop is 2400mm. " sqref="G8:G57" xr:uid="{00000000-0002-0000-0300-00000A000000}">
      <formula1>200</formula1>
      <formula2>3000</formula2>
    </dataValidation>
    <dataValidation type="list" allowBlank="1" showInputMessage="1" showErrorMessage="1" errorTitle="Invalid Entry" error="Invalid Entry" sqref="H8:H57" xr:uid="{00000000-0002-0000-0300-00000B000000}">
      <formula1>WindowType</formula1>
    </dataValidation>
    <dataValidation type="whole" errorStyle="warning" allowBlank="1" showInputMessage="1" showErrorMessage="1" errorTitle="Invalid Entry" error="Maximum Cut Out Width is 130mm." sqref="S8:S57 U8:U57" xr:uid="{00000000-0002-0000-0300-00000C000000}">
      <formula1>0</formula1>
      <formula2>130</formula2>
    </dataValidation>
    <dataValidation type="list" allowBlank="1" showInputMessage="1" showErrorMessage="1" errorTitle="Invalid Entry" error="Invalid Entry" sqref="N8:N57" xr:uid="{00000000-0002-0000-0300-00000D000000}">
      <formula1>HoldDown</formula1>
    </dataValidation>
    <dataValidation allowBlank="1" sqref="W1:X57" xr:uid="{00000000-0002-0000-0300-00000E000000}"/>
    <dataValidation type="list" allowBlank="1" showInputMessage="1" showErrorMessage="1" errorTitle="Invalid Entry" error="Invalid Entry" sqref="L8:L57" xr:uid="{A2E17E68-725B-417D-9B92-CB375E9AC666}">
      <formula1>INDIRECT(SUBSTITUTE(AT8," ","_"))</formula1>
    </dataValidation>
    <dataValidation type="list" allowBlank="1" showInputMessage="1" showErrorMessage="1" errorTitle="Invalid Entry" error="Invalid Entry" sqref="M8:M57" xr:uid="{3C87B468-06A4-42B9-A47F-7F20D48B3D4C}">
      <formula1>INDIRECT(SUBSTITUTE(AW8," ","_"))</formula1>
    </dataValidation>
  </dataValidations>
  <printOptions horizontalCentered="1"/>
  <pageMargins left="0.23622047244094491" right="0.23622047244094491" top="0.23622047244094491" bottom="0.23622047244094491" header="0.19685039370078741" footer="0.19685039370078741"/>
  <pageSetup paperSize="9" scale="42" fitToHeight="2"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DZ58"/>
  <sheetViews>
    <sheetView view="pageBreakPreview" zoomScale="85" zoomScaleSheetLayoutView="85" workbookViewId="0">
      <selection activeCell="B8" sqref="B8"/>
    </sheetView>
  </sheetViews>
  <sheetFormatPr defaultRowHeight="15"/>
  <cols>
    <col min="1" max="1" width="7.42578125" style="54" customWidth="1"/>
    <col min="2" max="2" width="13" style="54" customWidth="1"/>
    <col min="3" max="3" width="6.28515625" style="54" customWidth="1"/>
    <col min="4" max="4" width="32.5703125" style="54" customWidth="1"/>
    <col min="5" max="5" width="31" style="54" customWidth="1"/>
    <col min="6" max="6" width="37.42578125" style="54" customWidth="1"/>
    <col min="7" max="7" width="31.7109375" style="54" customWidth="1"/>
    <col min="8" max="8" width="32.5703125" style="54" customWidth="1"/>
    <col min="9" max="9" width="13" style="54" customWidth="1"/>
    <col min="10" max="10" width="12.42578125" style="54" customWidth="1"/>
    <col min="11" max="11" width="16.28515625" style="54" customWidth="1"/>
    <col min="12" max="12" width="14.7109375" style="54" customWidth="1"/>
    <col min="13" max="13" width="10.42578125" style="54" customWidth="1"/>
    <col min="14" max="14" width="4.28515625" style="54" customWidth="1"/>
    <col min="15" max="15" width="28.85546875" style="54" customWidth="1"/>
    <col min="16" max="16" width="67.5703125" style="54" customWidth="1"/>
    <col min="17" max="19" width="20.28515625" style="54" customWidth="1"/>
    <col min="20" max="20" width="17.5703125" style="54" customWidth="1"/>
    <col min="21" max="21" width="14.42578125" style="54" customWidth="1"/>
    <col min="22" max="22" width="57.140625" style="54" customWidth="1"/>
    <col min="23" max="23" width="17" style="54" customWidth="1"/>
    <col min="24" max="24" width="43.42578125" style="54" customWidth="1"/>
    <col min="25" max="25" width="15.140625" style="33" hidden="1" customWidth="1"/>
    <col min="26" max="26" width="9.140625" style="33" hidden="1" customWidth="1"/>
    <col min="27" max="27" width="19.85546875" style="33" hidden="1" customWidth="1"/>
    <col min="28" max="28" width="9.140625" style="33" hidden="1" customWidth="1"/>
    <col min="29" max="29" width="40.42578125" style="33" hidden="1" customWidth="1"/>
    <col min="30" max="30" width="42.28515625" style="33" hidden="1" customWidth="1"/>
    <col min="31" max="32" width="24.28515625" style="172" hidden="1" customWidth="1"/>
    <col min="33" max="33" width="46.7109375" style="172" hidden="1" customWidth="1"/>
    <col min="34" max="34" width="43.28515625" style="33" hidden="1" customWidth="1"/>
    <col min="35" max="35" width="33.5703125" style="33" hidden="1" customWidth="1"/>
    <col min="36" max="38" width="33.5703125" style="485" hidden="1" customWidth="1"/>
    <col min="39" max="40" width="25.5703125" style="33" hidden="1" customWidth="1"/>
    <col min="41" max="41" width="37" style="33" hidden="1" customWidth="1"/>
    <col min="42" max="42" width="26.42578125" style="33" hidden="1" customWidth="1"/>
    <col min="43" max="44" width="22.85546875" style="33" hidden="1" customWidth="1"/>
    <col min="45" max="45" width="40.7109375" style="33" hidden="1" customWidth="1"/>
    <col min="46" max="46" width="45.7109375" style="172" hidden="1" customWidth="1"/>
    <col min="47" max="47" width="18.28515625" style="172" hidden="1" customWidth="1"/>
    <col min="48" max="49" width="24" style="33" hidden="1" customWidth="1"/>
    <col min="50" max="50" width="15.42578125" style="33" hidden="1" customWidth="1"/>
    <col min="51" max="59" width="9.140625" style="33" hidden="1" customWidth="1"/>
    <col min="60" max="60" width="35.42578125" style="33" hidden="1" customWidth="1"/>
    <col min="61" max="62" width="22.5703125" style="33" hidden="1" customWidth="1"/>
    <col min="63" max="63" width="22.42578125" style="33" hidden="1" customWidth="1"/>
    <col min="64" max="65" width="30.7109375" style="33" hidden="1" customWidth="1"/>
    <col min="66" max="66" width="15.140625" style="476" hidden="1" customWidth="1"/>
    <col min="67" max="68" width="28.28515625" style="476" hidden="1" customWidth="1"/>
    <col min="69" max="69" width="19.7109375" style="476" hidden="1" customWidth="1"/>
    <col min="70" max="70" width="29.85546875" style="476" hidden="1" customWidth="1"/>
    <col min="71" max="72" width="26.28515625" style="476" hidden="1" customWidth="1"/>
    <col min="73" max="73" width="19.7109375" style="172" hidden="1" customWidth="1"/>
    <col min="74" max="74" width="9.140625" style="172" hidden="1" customWidth="1"/>
    <col min="75" max="75" width="9.140625" style="33" hidden="1" customWidth="1"/>
    <col min="76" max="76" width="31.140625" style="33" hidden="1" customWidth="1"/>
    <col min="77" max="77" width="23.42578125" style="33" hidden="1" customWidth="1"/>
    <col min="78" max="78" width="21.7109375" style="33" hidden="1" customWidth="1"/>
    <col min="79" max="79" width="9.140625" style="33" hidden="1" customWidth="1"/>
    <col min="80" max="80" width="17.7109375" style="33" hidden="1" customWidth="1"/>
    <col min="81" max="81" width="24.85546875" style="172" hidden="1" customWidth="1"/>
    <col min="82" max="85" width="22.5703125" style="172" hidden="1" customWidth="1"/>
    <col min="86" max="89" width="9.140625" style="33" hidden="1" customWidth="1"/>
    <col min="90" max="98" width="14.140625" style="33" hidden="1" customWidth="1"/>
    <col min="99" max="107" width="16.140625" style="33" hidden="1" customWidth="1"/>
    <col min="108" max="130" width="9.140625" style="33" hidden="1" customWidth="1"/>
    <col min="131" max="156" width="9.140625" style="33" customWidth="1"/>
    <col min="157" max="16384" width="9.140625" style="33"/>
  </cols>
  <sheetData>
    <row r="1" spans="1:107" ht="26.25">
      <c r="A1" s="554"/>
      <c r="B1" s="670"/>
      <c r="C1" s="670"/>
      <c r="D1" s="670"/>
      <c r="E1" s="34"/>
      <c r="F1" s="246"/>
      <c r="G1" s="257"/>
      <c r="H1" s="240" t="s">
        <v>0</v>
      </c>
      <c r="I1" s="676">
        <f>Summary!D3</f>
        <v>0</v>
      </c>
      <c r="J1" s="677"/>
      <c r="K1" s="677"/>
      <c r="L1" s="677"/>
      <c r="M1" s="677"/>
      <c r="N1" s="677"/>
      <c r="O1" s="677"/>
      <c r="P1" s="677"/>
      <c r="Q1" s="677"/>
      <c r="R1" s="677"/>
      <c r="S1" s="677"/>
      <c r="T1" s="677"/>
      <c r="U1" s="678"/>
      <c r="V1" s="477" t="s">
        <v>2343</v>
      </c>
      <c r="W1" s="478" t="s">
        <v>2316</v>
      </c>
      <c r="X1" s="517"/>
      <c r="AL1" s="348" t="s">
        <v>1174</v>
      </c>
      <c r="CC1" s="172" t="s">
        <v>69</v>
      </c>
    </row>
    <row r="2" spans="1:107" ht="19.5">
      <c r="A2" s="671"/>
      <c r="B2" s="672"/>
      <c r="C2" s="672"/>
      <c r="D2" s="672"/>
      <c r="E2" s="679" t="s">
        <v>1172</v>
      </c>
      <c r="F2" s="680"/>
      <c r="G2" s="49"/>
      <c r="H2" s="240" t="s">
        <v>141</v>
      </c>
      <c r="I2" s="568">
        <f>Summary!D6</f>
        <v>0</v>
      </c>
      <c r="J2" s="569"/>
      <c r="K2" s="569"/>
      <c r="L2" s="569"/>
      <c r="M2" s="569"/>
      <c r="N2" s="569"/>
      <c r="O2" s="569"/>
      <c r="P2" s="569"/>
      <c r="Q2" s="569"/>
      <c r="R2" s="569"/>
      <c r="S2" s="569"/>
      <c r="T2" s="569"/>
      <c r="U2" s="570"/>
      <c r="V2" s="474" t="s">
        <v>377</v>
      </c>
      <c r="W2" s="479">
        <f>CD58</f>
        <v>0</v>
      </c>
      <c r="X2" s="517"/>
      <c r="AL2" s="348" t="s">
        <v>1175</v>
      </c>
      <c r="CC2" s="172" t="s">
        <v>2308</v>
      </c>
    </row>
    <row r="3" spans="1:107" ht="17.25" customHeight="1">
      <c r="A3" s="673"/>
      <c r="B3" s="674"/>
      <c r="C3" s="674"/>
      <c r="D3" s="674"/>
      <c r="E3" s="8"/>
      <c r="F3" s="249"/>
      <c r="G3" s="8"/>
      <c r="H3" s="240" t="s">
        <v>143</v>
      </c>
      <c r="I3" s="549">
        <f>Summary!D4</f>
        <v>0</v>
      </c>
      <c r="J3" s="681"/>
      <c r="K3" s="681"/>
      <c r="L3" s="681"/>
      <c r="M3" s="681"/>
      <c r="N3" s="681"/>
      <c r="O3" s="681"/>
      <c r="P3" s="681"/>
      <c r="Q3" s="681"/>
      <c r="R3" s="681"/>
      <c r="S3" s="681"/>
      <c r="T3" s="681"/>
      <c r="U3" s="682"/>
      <c r="V3" s="474" t="s">
        <v>2346</v>
      </c>
      <c r="W3" s="479">
        <f>CE58</f>
        <v>0</v>
      </c>
      <c r="X3" s="63"/>
      <c r="AL3" s="348" t="s">
        <v>1852</v>
      </c>
      <c r="CC3" s="172" t="s">
        <v>2309</v>
      </c>
    </row>
    <row r="4" spans="1:107" ht="17.25" customHeight="1">
      <c r="A4" s="566" t="s">
        <v>452</v>
      </c>
      <c r="B4" s="574"/>
      <c r="C4" s="574"/>
      <c r="D4" s="567"/>
      <c r="E4" s="564"/>
      <c r="F4" s="565"/>
      <c r="G4" s="256"/>
      <c r="H4" s="240" t="s">
        <v>978</v>
      </c>
      <c r="I4" s="568">
        <f>Summary!D7</f>
        <v>0</v>
      </c>
      <c r="J4" s="569"/>
      <c r="K4" s="569"/>
      <c r="L4" s="569"/>
      <c r="M4" s="569"/>
      <c r="N4" s="569"/>
      <c r="O4" s="569"/>
      <c r="P4" s="569"/>
      <c r="Q4" s="569"/>
      <c r="R4" s="569"/>
      <c r="S4" s="569"/>
      <c r="T4" s="569"/>
      <c r="U4" s="570"/>
      <c r="V4" s="474" t="s">
        <v>2347</v>
      </c>
      <c r="W4" s="479">
        <f>CF58</f>
        <v>0</v>
      </c>
      <c r="X4" s="553"/>
      <c r="AL4" s="348" t="s">
        <v>1176</v>
      </c>
      <c r="AY4" s="33" t="s">
        <v>2177</v>
      </c>
      <c r="CC4" s="172" t="s">
        <v>332</v>
      </c>
    </row>
    <row r="5" spans="1:107" ht="17.25" customHeight="1">
      <c r="A5" s="96" t="s">
        <v>1811</v>
      </c>
      <c r="B5" s="97"/>
      <c r="C5" s="97"/>
      <c r="D5" s="104"/>
      <c r="E5" s="104"/>
      <c r="F5" s="247"/>
      <c r="G5" s="288" t="s">
        <v>1036</v>
      </c>
      <c r="H5" s="240" t="s">
        <v>144</v>
      </c>
      <c r="I5" s="667">
        <f>Summary!D8</f>
        <v>0</v>
      </c>
      <c r="J5" s="668"/>
      <c r="K5" s="668"/>
      <c r="L5" s="668"/>
      <c r="M5" s="668"/>
      <c r="N5" s="668"/>
      <c r="O5" s="668"/>
      <c r="P5" s="668"/>
      <c r="Q5" s="668"/>
      <c r="R5" s="668"/>
      <c r="S5" s="668"/>
      <c r="T5" s="668"/>
      <c r="U5" s="669"/>
      <c r="V5" s="474" t="s">
        <v>2345</v>
      </c>
      <c r="W5" s="479">
        <f>CG58</f>
        <v>0</v>
      </c>
      <c r="X5" s="553"/>
      <c r="AL5" s="348" t="s">
        <v>2137</v>
      </c>
      <c r="BP5" s="476" t="s">
        <v>20</v>
      </c>
      <c r="BQ5" s="476" t="s">
        <v>23</v>
      </c>
    </row>
    <row r="6" spans="1:107" ht="15.75" thickBot="1">
      <c r="A6" s="585" t="s">
        <v>723</v>
      </c>
      <c r="B6" s="585"/>
      <c r="C6" s="585"/>
      <c r="D6" s="585"/>
      <c r="E6" s="585"/>
      <c r="F6" s="586"/>
      <c r="G6" s="298">
        <v>26</v>
      </c>
      <c r="H6" s="250" t="s">
        <v>654</v>
      </c>
      <c r="I6" s="581" t="str">
        <f>AC18</f>
        <v/>
      </c>
      <c r="J6" s="598"/>
      <c r="K6" s="598"/>
      <c r="L6" s="598"/>
      <c r="M6" s="598"/>
      <c r="N6" s="598"/>
      <c r="O6" s="598"/>
      <c r="P6" s="598"/>
      <c r="Q6" s="598"/>
      <c r="R6" s="598"/>
      <c r="S6" s="598"/>
      <c r="T6" s="598"/>
      <c r="U6" s="599"/>
      <c r="W6" s="480"/>
      <c r="X6" s="65"/>
      <c r="AQ6" s="675" t="s">
        <v>1253</v>
      </c>
      <c r="AR6" s="675"/>
      <c r="AS6" s="675"/>
      <c r="BP6" s="476" t="s">
        <v>27</v>
      </c>
      <c r="BQ6" s="476" t="s">
        <v>29</v>
      </c>
      <c r="BU6" s="172" t="s">
        <v>69</v>
      </c>
      <c r="CL6" s="33" t="s">
        <v>2334</v>
      </c>
      <c r="CP6" s="33" t="s">
        <v>2334</v>
      </c>
      <c r="CU6" s="33" t="s">
        <v>2340</v>
      </c>
      <c r="CY6" s="33" t="s">
        <v>2340</v>
      </c>
    </row>
    <row r="7" spans="1:107" ht="45" customHeight="1" thickTop="1" thickBot="1">
      <c r="A7" s="66" t="s">
        <v>146</v>
      </c>
      <c r="B7" s="67" t="s">
        <v>147</v>
      </c>
      <c r="C7" s="67" t="s">
        <v>164</v>
      </c>
      <c r="D7" s="67" t="s">
        <v>1179</v>
      </c>
      <c r="E7" s="67" t="s">
        <v>181</v>
      </c>
      <c r="F7" s="67" t="s">
        <v>1208</v>
      </c>
      <c r="G7" s="67" t="s">
        <v>1210</v>
      </c>
      <c r="H7" s="67" t="s">
        <v>1211</v>
      </c>
      <c r="I7" s="458" t="s">
        <v>148</v>
      </c>
      <c r="J7" s="459" t="s">
        <v>149</v>
      </c>
      <c r="K7" s="69" t="s">
        <v>14</v>
      </c>
      <c r="L7" s="69" t="s">
        <v>165</v>
      </c>
      <c r="M7" s="541" t="s">
        <v>13</v>
      </c>
      <c r="N7" s="542"/>
      <c r="O7" s="67" t="s">
        <v>1464</v>
      </c>
      <c r="P7" s="458" t="s">
        <v>1299</v>
      </c>
      <c r="Q7" s="458" t="s">
        <v>2191</v>
      </c>
      <c r="R7" s="458" t="s">
        <v>2341</v>
      </c>
      <c r="S7" s="458" t="s">
        <v>2342</v>
      </c>
      <c r="T7" s="67" t="s">
        <v>1209</v>
      </c>
      <c r="U7" s="238" t="s">
        <v>162</v>
      </c>
      <c r="V7" s="67" t="s">
        <v>203</v>
      </c>
      <c r="W7" s="481" t="s">
        <v>2344</v>
      </c>
      <c r="X7" s="228"/>
      <c r="Y7" s="238"/>
      <c r="AA7" s="33" t="s">
        <v>14</v>
      </c>
      <c r="AE7" s="239" t="s">
        <v>1249</v>
      </c>
      <c r="AF7" s="239" t="s">
        <v>1250</v>
      </c>
      <c r="AG7" s="239" t="s">
        <v>1251</v>
      </c>
      <c r="AH7" s="33" t="s">
        <v>181</v>
      </c>
      <c r="AI7" s="33" t="s">
        <v>2324</v>
      </c>
      <c r="AJ7" s="239" t="s">
        <v>1387</v>
      </c>
      <c r="AK7" s="239" t="s">
        <v>1249</v>
      </c>
      <c r="AL7" s="239" t="s">
        <v>1388</v>
      </c>
      <c r="AM7" s="239" t="s">
        <v>1387</v>
      </c>
      <c r="AN7" s="239" t="s">
        <v>1249</v>
      </c>
      <c r="AO7" s="239" t="s">
        <v>1388</v>
      </c>
      <c r="AP7" s="33" t="s">
        <v>2197</v>
      </c>
      <c r="AQ7" s="239" t="s">
        <v>1249</v>
      </c>
      <c r="AR7" s="239" t="s">
        <v>1250</v>
      </c>
      <c r="AS7" s="239" t="s">
        <v>1251</v>
      </c>
      <c r="AT7" s="239" t="s">
        <v>1403</v>
      </c>
      <c r="AU7" s="239" t="s">
        <v>1444</v>
      </c>
      <c r="AV7" s="239" t="s">
        <v>1405</v>
      </c>
      <c r="AW7" s="239" t="s">
        <v>1406</v>
      </c>
      <c r="AX7" s="239" t="s">
        <v>1407</v>
      </c>
      <c r="AY7" s="33" t="s">
        <v>2300</v>
      </c>
      <c r="AZ7" s="33" t="s">
        <v>2301</v>
      </c>
      <c r="BA7" s="33" t="s">
        <v>2302</v>
      </c>
      <c r="BH7" t="s">
        <v>2305</v>
      </c>
      <c r="BI7"/>
      <c r="BJ7"/>
      <c r="BK7" t="s">
        <v>2306</v>
      </c>
      <c r="BL7" t="s">
        <v>2307</v>
      </c>
      <c r="BM7"/>
      <c r="BN7" s="476" t="s">
        <v>2318</v>
      </c>
      <c r="BO7" s="476" t="s">
        <v>2319</v>
      </c>
      <c r="BP7" s="476" t="s">
        <v>2317</v>
      </c>
      <c r="BQ7" s="476" t="s">
        <v>2320</v>
      </c>
      <c r="BR7" s="476" t="s">
        <v>1179</v>
      </c>
      <c r="BU7" s="172" t="s">
        <v>2321</v>
      </c>
      <c r="BY7" s="33" t="s">
        <v>2313</v>
      </c>
      <c r="BZ7" s="33" t="s">
        <v>2310</v>
      </c>
      <c r="CA7" s="33" t="s">
        <v>2311</v>
      </c>
      <c r="CB7" s="33" t="s">
        <v>2312</v>
      </c>
      <c r="CC7" s="172" t="s">
        <v>2314</v>
      </c>
      <c r="CD7" s="172" t="s">
        <v>377</v>
      </c>
      <c r="CE7" s="172" t="s">
        <v>2346</v>
      </c>
      <c r="CF7" s="172" t="s">
        <v>2347</v>
      </c>
      <c r="CG7" s="172" t="s">
        <v>2345</v>
      </c>
      <c r="CL7" s="239" t="s">
        <v>2333</v>
      </c>
      <c r="CM7" s="239" t="s">
        <v>1405</v>
      </c>
      <c r="CN7" s="239" t="s">
        <v>1406</v>
      </c>
      <c r="CO7" s="239" t="s">
        <v>1407</v>
      </c>
      <c r="CP7" s="239" t="s">
        <v>1444</v>
      </c>
      <c r="CQ7" s="239" t="s">
        <v>1405</v>
      </c>
      <c r="CR7" s="239" t="s">
        <v>1406</v>
      </c>
      <c r="CS7" s="239" t="s">
        <v>1407</v>
      </c>
      <c r="CT7" s="311" t="s">
        <v>2335</v>
      </c>
      <c r="CU7" s="239" t="s">
        <v>2333</v>
      </c>
      <c r="CV7" s="239" t="s">
        <v>1405</v>
      </c>
      <c r="CW7" s="239" t="s">
        <v>1406</v>
      </c>
      <c r="CX7" s="239" t="s">
        <v>1407</v>
      </c>
      <c r="CY7" s="239" t="s">
        <v>1444</v>
      </c>
      <c r="CZ7" s="239" t="s">
        <v>1405</v>
      </c>
      <c r="DA7" s="239" t="s">
        <v>1406</v>
      </c>
      <c r="DB7" s="239" t="s">
        <v>1407</v>
      </c>
      <c r="DC7" s="311" t="s">
        <v>2335</v>
      </c>
    </row>
    <row r="8" spans="1:107" ht="30" customHeight="1" thickTop="1">
      <c r="A8" s="50">
        <v>1</v>
      </c>
      <c r="B8" s="95"/>
      <c r="C8" s="23"/>
      <c r="D8" s="25"/>
      <c r="E8" s="244"/>
      <c r="F8" s="244"/>
      <c r="G8" s="244"/>
      <c r="H8" s="244"/>
      <c r="I8" s="24"/>
      <c r="J8" s="24"/>
      <c r="K8" s="24"/>
      <c r="L8" s="42"/>
      <c r="M8" s="531"/>
      <c r="N8" s="532"/>
      <c r="O8" s="11"/>
      <c r="P8" s="11"/>
      <c r="Q8" s="11"/>
      <c r="R8" s="11"/>
      <c r="S8" s="470"/>
      <c r="T8" s="25" t="str">
        <f>AX8</f>
        <v/>
      </c>
      <c r="U8" s="252" t="str">
        <f>IF(SUM(I8)=0,"",SUM(((I8*J8)/1000000)))</f>
        <v/>
      </c>
      <c r="V8" s="475"/>
      <c r="W8" s="482" t="b">
        <f>IF(CC8&lt;&gt;"",CC8,"")</f>
        <v>0</v>
      </c>
      <c r="X8" s="230"/>
      <c r="Y8" s="252"/>
      <c r="AA8" s="33" t="str">
        <f>IF(SUM(--ISNUMBER(SEARCH({"Skylight"}, D8))),Data!$AJ$19,Data!$AJ$1)</f>
        <v>WindowType</v>
      </c>
      <c r="AB8" s="33" t="str">
        <f t="shared" ref="AB8:AB39" si="0">IF(AND(C8&gt;0,P8=""),"Enter","OK")</f>
        <v>OK</v>
      </c>
      <c r="AC8" s="33" t="str">
        <f>IF(COUNTIF($K$8:$K$57,Data!KF3),Data!KG3,"")</f>
        <v/>
      </c>
      <c r="AD8" s="33" t="str">
        <f>IF(SUM(--ISNUMBER(SEARCH({"Bay","Corner"}, K8:K17))),"Yes","No")</f>
        <v>No</v>
      </c>
      <c r="AE8" s="239" t="e">
        <f>MATCH(E8, Data!$TB$2:$TB$6,0)</f>
        <v>#N/A</v>
      </c>
      <c r="AF8" s="239" t="e">
        <f>MATCH(F8,Data!$TC$1:$UB$1,0)</f>
        <v>#N/A</v>
      </c>
      <c r="AG8" s="239" t="e">
        <f>INDEX(Data!$TC$2:$UB$6,'Cellular Blinds'!AE8,'Cellular Blinds'!AF8)</f>
        <v>#N/A</v>
      </c>
      <c r="AH8" s="33" t="e">
        <f>VLOOKUP(D8,Data!$RU$2:$RV$15,2,FALSE)</f>
        <v>#N/A</v>
      </c>
      <c r="AI8" s="33" t="b">
        <f>IF(D8=Data!$UT$2,Data!$UU$1,IF(D8=Data!$UT$3,Data!$UV$1,IF(D8=Data!$UT$4,Data!$UW$1,IF(D8=Data!$UT$5,Data!$UX$1,IF(D8=Data!$UT$6,Data!$UY$1,IF(D8=Data!$UT$7,Data!$UZ$1,IF(D8=Data!$UT$8,Data!$VA$1,IF(D8=Data!$UT$9,Data!$VB$1,IF(D8=Data!$UT$10,Data!$VC$1,IF(D8=Data!$UT$11,Data!$VD$1,IF(D8=Data!$UT$12,Data!$VD$22,IF(D8=Data!$UT$13,Data!$VD$22,IF(D8=Data!$UT$14,Data!$UU$13,IF(D8=Data!$UT$15,Data!$UV$13))))))))))))))</f>
        <v>0</v>
      </c>
      <c r="AJ8" s="239" t="e">
        <f>MATCH(D8,Data!$VL$27:$VL$40,0)</f>
        <v>#N/A</v>
      </c>
      <c r="AK8" s="239" t="e">
        <f>MATCH(E8,Data!$VM$26:$VQ$26,0)</f>
        <v>#N/A</v>
      </c>
      <c r="AL8" s="239" t="e">
        <f>INDEX(Data!$VM$27:$VQ$40,'Cellular Blinds'!AJ8,'Cellular Blinds'!AK8)</f>
        <v>#N/A</v>
      </c>
      <c r="AM8" s="239" t="e">
        <f>MATCH(D8, Data!$VL$2:$VL$16,0)</f>
        <v>#N/A</v>
      </c>
      <c r="AN8" s="239" t="e">
        <f>MATCH(E8,Data!$VM$1:$VQ$1,0)</f>
        <v>#N/A</v>
      </c>
      <c r="AO8" s="239" t="e">
        <f>INDEX(Data!$VM$2:$VQ$16,'Cellular Blinds'!AM8,'Cellular Blinds'!AN8)</f>
        <v>#N/A</v>
      </c>
      <c r="AP8" s="33" t="e">
        <f>VLOOKUP(P8,Data!$UW$14:$UX$28,2,FALSE)</f>
        <v>#N/A</v>
      </c>
      <c r="AQ8" s="239" t="e">
        <f>MATCH(E8, Data!$XS$2:$XS$6,0)</f>
        <v>#N/A</v>
      </c>
      <c r="AR8" s="239" t="e">
        <f>MATCH(F8,Data!$XT$1:$YR$1,0)</f>
        <v>#N/A</v>
      </c>
      <c r="AS8" s="239" t="e">
        <f>INDEX(Data!$XT$2:$YR$6,'Cellular Blinds'!AQ8,'Cellular Blinds'!AR8)</f>
        <v>#N/A</v>
      </c>
      <c r="AT8" s="239" t="b">
        <f>IF(D8=Data!$YU$2,Data!$YV$1,IF(D8=Data!$YU$3,Data!$YW$1,IF(D8=Data!$YU$4,Data!$YX$1,IF(D8=Data!$YU$5,Data!$YY$1,IF(D8=Data!$YU$6,Data!$YZ$1,IF(D8=Data!$YU$7,Data!$ZA$1,IF(D8=Data!$YU$8,Data!$ZB$1,IF(D8=Data!$YU$9,Data!$ZC$1,IF(D8=Data!$YU$10,Data!$ZD$1,IF(D8=Data!$YU$11,Data!$ZE$1,IF(D8=Data!$YU$12,Data!$ZE$1,IF(D8=Data!$YU$13,Data!$ZE$1,IF(D8=Data!$YU$14,Data!$ZG$11,IF(D8=Data!$YU$15,Data!$ZF$11))))))))))))))</f>
        <v>0</v>
      </c>
      <c r="AU8" s="239" t="str">
        <f>IF(D8="","",IF(E8=Data!$ZI$2,VLOOKUP(D8,Data!$ZK$2:$ZL$15,2,FALSE),IF(E8=Data!$ZI$1,VLOOKUP(D8,Data!$ZQ$2:$ZR$13,2,FALSE),IF(E8=Data!$ZI$3,VLOOKUP(D8,Data!$ZW$2:$ZX$13,2,FALSE),IF(E8=Data!$ZI$4,VLOOKUP(D8,Data!$AAC$2:$AAD$13,2,FALSE),IF(E8=Data!$ZI$5,VLOOKUP(D8,Data!$AAC$26:$AAD$37,2,FALSE)))))))</f>
        <v/>
      </c>
      <c r="AV8" s="251" t="str">
        <f>U8</f>
        <v/>
      </c>
      <c r="AW8" s="251" t="str">
        <f>IF(AV8="","",AV8-AU8)</f>
        <v/>
      </c>
      <c r="AX8" s="239" t="str">
        <f>IF(AW8="","",IF(AW8&gt;0,"Check Size",""))</f>
        <v/>
      </c>
      <c r="AY8" s="33" t="s">
        <v>27</v>
      </c>
      <c r="AZ8" s="33" t="s">
        <v>20</v>
      </c>
      <c r="BA8" s="33" t="str">
        <f>IF(D8=$AY$4,$AZ$7,$AY$7)</f>
        <v>FittingBoth</v>
      </c>
      <c r="BH8" t="s">
        <v>1174</v>
      </c>
      <c r="BI8" t="s">
        <v>22</v>
      </c>
      <c r="BJ8"/>
      <c r="BK8" t="s">
        <v>332</v>
      </c>
      <c r="BL8" t="s">
        <v>69</v>
      </c>
      <c r="BM8"/>
      <c r="BN8" s="476" t="str">
        <f t="shared" ref="BN8:BN39" si="1">IF(BU8&lt;&gt;0,$BK$7,$BL$7)</f>
        <v>UChannelNA</v>
      </c>
      <c r="BO8" s="476" t="e">
        <f>VLOOKUP(E8,$BH$8:$BI$12,2,FALSE)</f>
        <v>#N/A</v>
      </c>
      <c r="BP8" s="476" t="str">
        <f>IF(L8=$BP$5, "Yes", "No")</f>
        <v>No</v>
      </c>
      <c r="BQ8" s="476" t="str">
        <f>IF(M8=$BQ$5,"Yes", "No")</f>
        <v>No</v>
      </c>
      <c r="BR8" s="476" t="e">
        <f t="shared" ref="BR8:BR39" si="2">VLOOKUP(D8,$BS$8:$BT$21,2,FALSE)</f>
        <v>#N/A</v>
      </c>
      <c r="BS8" s="476" t="s">
        <v>1206</v>
      </c>
      <c r="BT8" s="476" t="s">
        <v>22</v>
      </c>
      <c r="BU8" s="172">
        <f>COUNTIF(BO8:BR8,$BU$6)</f>
        <v>2</v>
      </c>
      <c r="BX8" s="33" t="s">
        <v>69</v>
      </c>
      <c r="BY8" s="33" t="str">
        <f>$CA$7</f>
        <v>ChannelNo</v>
      </c>
      <c r="BZ8" t="s">
        <v>377</v>
      </c>
      <c r="CA8" s="33" t="s">
        <v>332</v>
      </c>
      <c r="CB8" s="33" t="e">
        <f t="shared" ref="CB8:CB39" si="3">VLOOKUP(R8,$BX$8:$BY$11,2,FALSE)</f>
        <v>#N/A</v>
      </c>
      <c r="CC8" s="172" t="b">
        <f t="shared" ref="CC8:CC39" si="4">IF(R8=$CC$2,((C8*J8*2)/1000),IF(R8=$CC$3,(((C8*J8*2)+C8*I8)/1000)))</f>
        <v>0</v>
      </c>
      <c r="CD8" s="172">
        <f t="shared" ref="CD8:CD39" si="5">IF(S8=$CD$7,CC8,0)</f>
        <v>0</v>
      </c>
      <c r="CE8" s="172">
        <f t="shared" ref="CE8:CE39" si="6">IF(S8=$CE$7,CC8,0)</f>
        <v>0</v>
      </c>
      <c r="CF8" s="172">
        <f t="shared" ref="CF8:CF39" si="7">IF(S8=$CF$7,CC8,0)</f>
        <v>0</v>
      </c>
      <c r="CG8" s="172">
        <f t="shared" ref="CG8:CG39" si="8">IF(S8=$CG$7,CC8,0)</f>
        <v>0</v>
      </c>
      <c r="CL8" s="239" t="str">
        <f>IF(D8="","",IF(E8=Data!$ZI$2,VLOOKUP(D8,Data!$ZK$2:$ZP$15,3,FALSE),IF(E8=Data!$ZI$1,VLOOKUP(D8,Data!$ZQ$2:$ZS$13,3,FALSE),IF(E8=Data!$ZI$3,VLOOKUP(D8,Data!$ZW$2:$AAB$13,3,FALSE),IF(E8=Data!$ZI$4,VLOOKUP(D8,Data!$AAC$2:$AAI$13,3,FALSE),IF(E8=Data!$ZI$5,VLOOKUP(D8,Data!$AAC$26:$AAI$37,3,FALSE)))))))</f>
        <v/>
      </c>
      <c r="CM8" s="251">
        <f>I8</f>
        <v>0</v>
      </c>
      <c r="CN8" s="251" t="e">
        <f>IF(CM8="","",CM8-CL8)</f>
        <v>#VALUE!</v>
      </c>
      <c r="CO8" s="239" t="e">
        <f>IF(CN8="","",IF(CN8&lt;0,1,0))</f>
        <v>#VALUE!</v>
      </c>
      <c r="CP8" s="239" t="str">
        <f>IF(D8="","",IF(E8=Data!$ZI$2,VLOOKUP(D8,Data!$ZK$2:$ZN$15,4,FALSE),IF(E8=Data!$ZI$1,VLOOKUP(D8,Data!$ZQ$2:$ZT$13,4,FALSE),IF(E8=Data!$ZI$3,VLOOKUP(D8,Data!$ZW$2:$AAC$13,4,FALSE),IF(E8=Data!$ZI$4,VLOOKUP(D8,Data!$AAC$2:$AAJ$13,4,FALSE),IF(E8=Data!$ZI$5,VLOOKUP(D8,Data!$AAC$26:$AAJ$37,4,FALSE)))))))</f>
        <v/>
      </c>
      <c r="CQ8" s="251">
        <f>I8</f>
        <v>0</v>
      </c>
      <c r="CR8" s="251" t="e">
        <f>IF(CQ8="","",CQ8-CP8)</f>
        <v>#VALUE!</v>
      </c>
      <c r="CS8" s="239" t="e">
        <f>IF(CR8="","",IF(CR8&gt;0,1,0))</f>
        <v>#VALUE!</v>
      </c>
      <c r="CT8" s="311">
        <f>IF(I8="",0,CO8+CS8)</f>
        <v>0</v>
      </c>
      <c r="CU8" s="239" t="str">
        <f>IF(D8="","",IF(E8=Data!$ZI$2,VLOOKUP(D8,Data!$ZK$2:$ZO$15,5,FALSE),IF(E8=Data!$ZI$1,VLOOKUP(D8,Data!$ZQ$2:$ZU$13,5,FALSE),IF(E8=Data!$ZI$3,VLOOKUP(D8,Data!$ZW$2:$AAD$13,5,FALSE),IF(E8=Data!$ZI$4,VLOOKUP(D8,Data!$AAC$2:$AAK$13,5,FALSE),IF(E8=Data!$ZI$5,VLOOKUP(D8,Data!$AAC$26:$AAK$37,5,FALSE)))))))</f>
        <v/>
      </c>
      <c r="CV8" s="251">
        <f>J8</f>
        <v>0</v>
      </c>
      <c r="CW8" s="251" t="e">
        <f>IF(CV8="","",CV8-CU8)</f>
        <v>#VALUE!</v>
      </c>
      <c r="CX8" s="239" t="e">
        <f>IF(CW8="","",IF(CW8&lt;0,1,0))</f>
        <v>#VALUE!</v>
      </c>
      <c r="CY8" s="239" t="str">
        <f>IF(D8="","",IF(E8=Data!$ZI$2,VLOOKUP(D8,Data!$ZK$2:$ZP$15,6,FALSE),IF(E8=Data!$ZI$1,VLOOKUP(D8,Data!$ZQ$2:$ZV$13,6,FALSE),IF(E8=Data!$ZI$3,VLOOKUP(D8,Data!$ZW$2:$AAE$13,6,FALSE),IF(E8=Data!$ZI$4,VLOOKUP(D8,Data!$AAC$2:$AAL$13,6,FALSE),IF(E8=Data!$ZI$5,VLOOKUP(D8,Data!$AAC$26:$AAL$37,6,FALSE)))))))</f>
        <v/>
      </c>
      <c r="CZ8" s="251">
        <f>J8</f>
        <v>0</v>
      </c>
      <c r="DA8" s="251" t="e">
        <f>IF(CZ8="","",CZ8-CY8)</f>
        <v>#VALUE!</v>
      </c>
      <c r="DB8" s="239" t="e">
        <f>IF(DA8="","",IF(DA8&gt;0,1,0))</f>
        <v>#VALUE!</v>
      </c>
      <c r="DC8" s="311">
        <f>IF(J8="",0,CX8+DB8)</f>
        <v>0</v>
      </c>
    </row>
    <row r="9" spans="1:107" ht="30" customHeight="1">
      <c r="A9" s="51">
        <v>2</v>
      </c>
      <c r="B9" s="19"/>
      <c r="C9" s="27"/>
      <c r="D9" s="13"/>
      <c r="E9" s="235"/>
      <c r="F9" s="235"/>
      <c r="G9" s="235"/>
      <c r="H9" s="235"/>
      <c r="I9" s="14"/>
      <c r="J9" s="14"/>
      <c r="K9" s="14"/>
      <c r="L9" s="14"/>
      <c r="M9" s="525"/>
      <c r="N9" s="526"/>
      <c r="O9" s="15"/>
      <c r="P9" s="15"/>
      <c r="Q9" s="15"/>
      <c r="R9" s="15"/>
      <c r="S9" s="15"/>
      <c r="T9" s="13" t="str">
        <f t="shared" ref="T9:T57" si="9">AX9</f>
        <v/>
      </c>
      <c r="U9" s="253" t="str">
        <f t="shared" ref="U9:U57" si="10">IF(SUM(I9)=0,"",SUM(((I9*J9)/1000000)))</f>
        <v/>
      </c>
      <c r="V9" s="471"/>
      <c r="W9" s="482" t="b">
        <f t="shared" ref="W9:W57" si="11">IF(CC9&lt;&gt;"",CC9,"")</f>
        <v>0</v>
      </c>
      <c r="X9" s="230"/>
      <c r="Y9" s="253"/>
      <c r="AA9" s="33" t="str">
        <f>IF(SUM(--ISNUMBER(SEARCH({"Skylight"}, D9))),Data!$AJ$19,Data!$AJ$1)</f>
        <v>WindowType</v>
      </c>
      <c r="AB9" s="33" t="str">
        <f t="shared" si="0"/>
        <v>OK</v>
      </c>
      <c r="AC9" s="33" t="str">
        <f>IF(COUNTIF($K$8:$K$57,Data!KF4),Data!KG4,"")</f>
        <v/>
      </c>
      <c r="AE9" s="239" t="e">
        <f>MATCH(E9, Data!$TB$2:$TB$6,0)</f>
        <v>#N/A</v>
      </c>
      <c r="AF9" s="239" t="e">
        <f>MATCH(F9,Data!$TC$1:$UB$1,0)</f>
        <v>#N/A</v>
      </c>
      <c r="AG9" s="239" t="e">
        <f>INDEX(Data!$TC$2:$UB$6,'Cellular Blinds'!AE9,'Cellular Blinds'!AF9)</f>
        <v>#N/A</v>
      </c>
      <c r="AH9" s="33" t="e">
        <f>VLOOKUP(D9,Data!$RU$2:$RV$15,2,FALSE)</f>
        <v>#N/A</v>
      </c>
      <c r="AI9" s="33" t="b">
        <f>IF(D9=Data!$UT$2,Data!$UU$1,IF(D9=Data!$UT$3,Data!$UV$1,IF(D9=Data!$UT$4,Data!$UW$1,IF(D9=Data!$UT$5,Data!$UX$1,IF(D9=Data!$UT$6,Data!$UY$1,IF(D9=Data!$UT$7,Data!$UZ$1,IF(D9=Data!$UT$8,Data!$VA$1,IF(D9=Data!$UT$9,Data!$VB$1,IF(D9=Data!$UT$10,Data!$VC$1,IF(D9=Data!$UT$11,Data!$VD$1,IF(D9=Data!$UT$12,Data!$VD$22,IF(D9=Data!$UT$13,Data!$VD$22,IF(D9=Data!$UT$14,Data!$UU$13,IF(D9=Data!$UT$15,Data!$UV$13))))))))))))))</f>
        <v>0</v>
      </c>
      <c r="AJ9" s="239" t="e">
        <f>MATCH(D9,Data!$VL$27:$VL$40,0)</f>
        <v>#N/A</v>
      </c>
      <c r="AK9" s="239" t="e">
        <f>MATCH(E9,Data!$VM$26:$VQ$26,0)</f>
        <v>#N/A</v>
      </c>
      <c r="AL9" s="239" t="e">
        <f>INDEX(Data!$VM$27:$VQ$40,'Cellular Blinds'!AJ9,'Cellular Blinds'!AK9)</f>
        <v>#N/A</v>
      </c>
      <c r="AM9" s="239" t="e">
        <f>MATCH(D9, Data!$VL$2:$VL$16,0)</f>
        <v>#N/A</v>
      </c>
      <c r="AN9" s="239" t="e">
        <f>MATCH(E9,Data!$VM$1:$VQ$1,0)</f>
        <v>#N/A</v>
      </c>
      <c r="AO9" s="239" t="e">
        <f>INDEX(Data!$VM$2:$VQ$16,'Cellular Blinds'!AM9,'Cellular Blinds'!AN9)</f>
        <v>#N/A</v>
      </c>
      <c r="AP9" s="33" t="e">
        <f>VLOOKUP(P9,Data!$UW$14:$UX$28,2,FALSE)</f>
        <v>#N/A</v>
      </c>
      <c r="AQ9" s="239" t="e">
        <f>MATCH(E9, Data!$XS$2:$XS$6,0)</f>
        <v>#N/A</v>
      </c>
      <c r="AR9" s="239" t="e">
        <f>MATCH(F9,Data!$XT$1:$YR$1,0)</f>
        <v>#N/A</v>
      </c>
      <c r="AS9" s="239" t="e">
        <f>INDEX(Data!$XT$2:$YR$6,'Cellular Blinds'!AQ9,'Cellular Blinds'!AR9)</f>
        <v>#N/A</v>
      </c>
      <c r="AT9" s="239" t="b">
        <f>IF(D9=Data!$YU$2,Data!$YV$1,IF(D9=Data!$YU$3,Data!$YW$1,IF(D9=Data!$YU$4,Data!$YX$1,IF(D9=Data!$YU$5,Data!$YY$1,IF(D9=Data!$YU$6,Data!$YZ$1,IF(D9=Data!$YU$7,Data!$ZA$1,IF(D9=Data!$YU$8,Data!$ZB$1,IF(D9=Data!$YU$9,Data!$ZC$1,IF(D9=Data!$YU$10,Data!$ZD$1,IF(D9=Data!$YU$11,Data!$ZE$1,IF(D9=Data!$YU$12,Data!$ZE$1,IF(D9=Data!$YU$13,Data!$ZE$1,IF(D9=Data!$YU$14,Data!$ZG$11,IF(D9=Data!$YU$15,Data!$ZF$11))))))))))))))</f>
        <v>0</v>
      </c>
      <c r="AU9" s="239" t="str">
        <f>IF(D9="","",IF(E9=Data!$ZI$2,VLOOKUP(D9,Data!$ZK$2:$ZL$15,2,FALSE),IF(E9=Data!$ZI$1,VLOOKUP(D9,Data!$ZQ$2:$ZR$13,2,FALSE),IF(E9=Data!$ZI$3,VLOOKUP(D9,Data!$ZW$2:$ZX$13,2,FALSE),IF(E9=Data!$ZI$4,VLOOKUP(D9,Data!$AAC$2:$AAD$13,2,FALSE),IF(E9=Data!$ZI$5,VLOOKUP(D9,Data!$AAC$26:$AAD$37,2,FALSE)))))))</f>
        <v/>
      </c>
      <c r="AV9" s="251" t="str">
        <f t="shared" ref="AV9:AV57" si="12">U9</f>
        <v/>
      </c>
      <c r="AW9" s="251" t="str">
        <f t="shared" ref="AW9:AW57" si="13">IF(AV9="","",AV9-AU9)</f>
        <v/>
      </c>
      <c r="AX9" s="239" t="str">
        <f t="shared" ref="AX9:AX57" si="14">IF(AW9="","",IF(AW9&gt;0,"Check Size",""))</f>
        <v/>
      </c>
      <c r="AY9" s="33" t="s">
        <v>20</v>
      </c>
      <c r="BA9" s="33" t="str">
        <f t="shared" ref="BA9:BA57" si="15">IF(D9=$AY$4,$AZ$7,$AY$7)</f>
        <v>FittingBoth</v>
      </c>
      <c r="BH9" t="s">
        <v>1175</v>
      </c>
      <c r="BI9" t="s">
        <v>22</v>
      </c>
      <c r="BJ9"/>
      <c r="BK9"/>
      <c r="BL9" t="s">
        <v>2308</v>
      </c>
      <c r="BM9"/>
      <c r="BN9" s="476" t="str">
        <f t="shared" si="1"/>
        <v>UChannelNA</v>
      </c>
      <c r="BO9" s="476" t="e">
        <f t="shared" ref="BO9:BO58" si="16">VLOOKUP(E9,$BH$8:$BI$12,2,FALSE)</f>
        <v>#N/A</v>
      </c>
      <c r="BP9" s="476" t="str">
        <f t="shared" ref="BP9:BP58" si="17">IF(L9=$BP$5, "Yes", "No")</f>
        <v>No</v>
      </c>
      <c r="BQ9" s="476" t="str">
        <f t="shared" ref="BQ9:BQ58" si="18">IF(M9=$BQ$5,"Yes", "No")</f>
        <v>No</v>
      </c>
      <c r="BR9" s="476" t="e">
        <f t="shared" si="2"/>
        <v>#N/A</v>
      </c>
      <c r="BS9" s="476" t="s">
        <v>1213</v>
      </c>
      <c r="BT9" s="476" t="s">
        <v>69</v>
      </c>
      <c r="BU9" s="172">
        <f t="shared" ref="BU9:BU58" si="19">COUNTIF(BO9:BR9,$BU$6)</f>
        <v>2</v>
      </c>
      <c r="BX9" s="33" t="s">
        <v>2308</v>
      </c>
      <c r="BY9" s="33" t="str">
        <f>$BZ$7</f>
        <v>ChannelYes</v>
      </c>
      <c r="BZ9" t="s">
        <v>2346</v>
      </c>
      <c r="CB9" s="33" t="e">
        <f t="shared" si="3"/>
        <v>#N/A</v>
      </c>
      <c r="CC9" s="172" t="b">
        <f t="shared" si="4"/>
        <v>0</v>
      </c>
      <c r="CD9" s="172">
        <f t="shared" si="5"/>
        <v>0</v>
      </c>
      <c r="CE9" s="172">
        <f t="shared" si="6"/>
        <v>0</v>
      </c>
      <c r="CF9" s="172">
        <f t="shared" si="7"/>
        <v>0</v>
      </c>
      <c r="CG9" s="172">
        <f t="shared" si="8"/>
        <v>0</v>
      </c>
      <c r="CL9" s="239" t="str">
        <f>IF(D9="","",IF(E9=Data!$ZI$2,VLOOKUP(D9,Data!$ZK$2:$ZP$15,3,FALSE),IF(E9=Data!$ZI$1,VLOOKUP(D9,Data!$ZQ$2:$ZS$13,3,FALSE),IF(E9=Data!$ZI$3,VLOOKUP(D9,Data!$ZW$2:$AAB$13,3,FALSE),IF(E9=Data!$ZI$4,VLOOKUP(D9,Data!$AAC$2:$AAI$13,3,FALSE),IF(E9=Data!$ZI$5,VLOOKUP(D9,Data!$AAC$26:$AAI$37,3,FALSE)))))))</f>
        <v/>
      </c>
      <c r="CM9" s="251">
        <f t="shared" ref="CM9:CM57" si="20">I9</f>
        <v>0</v>
      </c>
      <c r="CN9" s="251" t="e">
        <f t="shared" ref="CN9:CN57" si="21">IF(CM9="","",CM9-CL9)</f>
        <v>#VALUE!</v>
      </c>
      <c r="CO9" s="239" t="e">
        <f t="shared" ref="CO9:CO57" si="22">IF(CN9="","",IF(CN9&lt;0,1,0))</f>
        <v>#VALUE!</v>
      </c>
      <c r="CP9" s="239" t="str">
        <f>IF(D9="","",IF(E9=Data!$ZI$2,VLOOKUP(D9,Data!$ZK$2:$ZN$15,4,FALSE),IF(E9=Data!$ZI$1,VLOOKUP(D9,Data!$ZQ$2:$ZT$13,4,FALSE),IF(E9=Data!$ZI$3,VLOOKUP(D9,Data!$ZW$2:$AAC$13,4,FALSE),IF(E9=Data!$ZI$4,VLOOKUP(D9,Data!$AAC$2:$AAJ$13,4,FALSE),IF(E9=Data!$ZI$5,VLOOKUP(D9,Data!$AAC$26:$AAJ$37,4,FALSE)))))))</f>
        <v/>
      </c>
      <c r="CQ9" s="251">
        <f t="shared" ref="CQ9:CQ57" si="23">I9</f>
        <v>0</v>
      </c>
      <c r="CR9" s="251" t="e">
        <f t="shared" ref="CR9:CR57" si="24">IF(CQ9="","",CQ9-CP9)</f>
        <v>#VALUE!</v>
      </c>
      <c r="CS9" s="239" t="e">
        <f t="shared" ref="CS9:CS57" si="25">IF(CR9="","",IF(CR9&gt;0,1,0))</f>
        <v>#VALUE!</v>
      </c>
      <c r="CT9" s="311">
        <f t="shared" ref="CT9:CT57" si="26">IF(I9="",0,CO9+CS9)</f>
        <v>0</v>
      </c>
      <c r="CU9" s="239" t="str">
        <f>IF(D9="","",IF(E9=Data!$ZI$2,VLOOKUP(D9,Data!$ZK$2:$ZO$15,5,FALSE),IF(E9=Data!$ZI$1,VLOOKUP(D9,Data!$ZQ$2:$ZU$13,5,FALSE),IF(E9=Data!$ZI$3,VLOOKUP(D9,Data!$ZW$2:$AAD$13,5,FALSE),IF(E9=Data!$ZI$4,VLOOKUP(D9,Data!$AAC$2:$AAK$13,5,FALSE),IF(E9=Data!$ZI$5,VLOOKUP(D9,Data!$AAC$26:$AAK$37,5,FALSE)))))))</f>
        <v/>
      </c>
      <c r="CV9" s="251">
        <f t="shared" ref="CV9:CV57" si="27">J9</f>
        <v>0</v>
      </c>
      <c r="CW9" s="251" t="e">
        <f t="shared" ref="CW9:CW57" si="28">IF(CV9="","",CV9-CU9)</f>
        <v>#VALUE!</v>
      </c>
      <c r="CX9" s="239" t="e">
        <f t="shared" ref="CX9:CX57" si="29">IF(CW9="","",IF(CW9&lt;0,1,0))</f>
        <v>#VALUE!</v>
      </c>
      <c r="CY9" s="239" t="str">
        <f>IF(D9="","",IF(E9=Data!$ZI$2,VLOOKUP(D9,Data!$ZK$2:$ZP$15,6,FALSE),IF(E9=Data!$ZI$1,VLOOKUP(D9,Data!$ZQ$2:$ZV$13,6,FALSE),IF(E9=Data!$ZI$3,VLOOKUP(D9,Data!$ZW$2:$AAE$13,6,FALSE),IF(E9=Data!$ZI$4,VLOOKUP(D9,Data!$AAC$2:$AAL$13,6,FALSE),IF(E9=Data!$ZI$5,VLOOKUP(D9,Data!$AAC$26:$AAL$37,6,FALSE)))))))</f>
        <v/>
      </c>
      <c r="CZ9" s="251">
        <f t="shared" ref="CZ9:CZ57" si="30">J9</f>
        <v>0</v>
      </c>
      <c r="DA9" s="251" t="e">
        <f t="shared" ref="DA9:DA57" si="31">IF(CZ9="","",CZ9-CY9)</f>
        <v>#VALUE!</v>
      </c>
      <c r="DB9" s="239" t="e">
        <f t="shared" ref="DB9:DB57" si="32">IF(DA9="","",IF(DA9&gt;0,1,0))</f>
        <v>#VALUE!</v>
      </c>
      <c r="DC9" s="311">
        <f t="shared" ref="DC9:DC57" si="33">IF(J9="",0,CX9+DB9)</f>
        <v>0</v>
      </c>
    </row>
    <row r="10" spans="1:107" ht="30" customHeight="1">
      <c r="A10" s="52">
        <v>3</v>
      </c>
      <c r="B10" s="17"/>
      <c r="C10" s="17"/>
      <c r="D10" s="13"/>
      <c r="E10" s="235"/>
      <c r="F10" s="235"/>
      <c r="G10" s="13"/>
      <c r="H10" s="235"/>
      <c r="I10" s="14"/>
      <c r="J10" s="14"/>
      <c r="K10" s="14"/>
      <c r="L10" s="14"/>
      <c r="M10" s="525"/>
      <c r="N10" s="526"/>
      <c r="O10" s="15"/>
      <c r="P10" s="15"/>
      <c r="Q10" s="15"/>
      <c r="R10" s="15"/>
      <c r="S10" s="15"/>
      <c r="T10" s="13" t="str">
        <f t="shared" si="9"/>
        <v/>
      </c>
      <c r="U10" s="253" t="str">
        <f t="shared" si="10"/>
        <v/>
      </c>
      <c r="V10" s="471"/>
      <c r="W10" s="482" t="b">
        <f t="shared" si="11"/>
        <v>0</v>
      </c>
      <c r="X10" s="230"/>
      <c r="Y10" s="253"/>
      <c r="AA10" s="33" t="str">
        <f>IF(SUM(--ISNUMBER(SEARCH({"Skylight"}, D10))),Data!$AJ$19,Data!$AJ$1)</f>
        <v>WindowType</v>
      </c>
      <c r="AB10" s="33" t="str">
        <f t="shared" si="0"/>
        <v>OK</v>
      </c>
      <c r="AC10" s="33" t="str">
        <f>IF(COUNTIF($K$8:$K$57,Data!KF5),Data!KG5,"")</f>
        <v/>
      </c>
      <c r="AE10" s="239" t="e">
        <f>MATCH(E10, Data!$TB$2:$TB$6,0)</f>
        <v>#N/A</v>
      </c>
      <c r="AF10" s="239" t="e">
        <f>MATCH(F10,Data!$TC$1:$UB$1,0)</f>
        <v>#N/A</v>
      </c>
      <c r="AG10" s="239" t="e">
        <f>INDEX(Data!$TC$2:$UB$6,'Cellular Blinds'!AE10,'Cellular Blinds'!AF10)</f>
        <v>#N/A</v>
      </c>
      <c r="AH10" s="33" t="e">
        <f>VLOOKUP(D10,Data!$RU$2:$RV$15,2,FALSE)</f>
        <v>#N/A</v>
      </c>
      <c r="AI10" s="33" t="b">
        <f>IF(D10=Data!$UT$2,Data!$UU$1,IF(D10=Data!$UT$3,Data!$UV$1,IF(D10=Data!$UT$4,Data!$UW$1,IF(D10=Data!$UT$5,Data!$UX$1,IF(D10=Data!$UT$6,Data!$UY$1,IF(D10=Data!$UT$7,Data!$UZ$1,IF(D10=Data!$UT$8,Data!$VA$1,IF(D10=Data!$UT$9,Data!$VB$1,IF(D10=Data!$UT$10,Data!$VC$1,IF(D10=Data!$UT$11,Data!$VD$1,IF(D10=Data!$UT$12,Data!$VD$22,IF(D10=Data!$UT$13,Data!$VD$22,IF(D10=Data!$UT$14,Data!$UU$13,IF(D10=Data!$UT$15,Data!$UV$13))))))))))))))</f>
        <v>0</v>
      </c>
      <c r="AJ10" s="239" t="e">
        <f>MATCH(D10,Data!$VL$27:$VL$40,0)</f>
        <v>#N/A</v>
      </c>
      <c r="AK10" s="239" t="e">
        <f>MATCH(E10,Data!$VM$26:$VQ$26,0)</f>
        <v>#N/A</v>
      </c>
      <c r="AL10" s="239" t="e">
        <f>INDEX(Data!$VM$27:$VQ$40,'Cellular Blinds'!AJ10,'Cellular Blinds'!AK10)</f>
        <v>#N/A</v>
      </c>
      <c r="AM10" s="239" t="e">
        <f>MATCH(D10, Data!$VL$2:$VL$16,0)</f>
        <v>#N/A</v>
      </c>
      <c r="AN10" s="239" t="e">
        <f>MATCH(E10,Data!$VM$1:$VQ$1,0)</f>
        <v>#N/A</v>
      </c>
      <c r="AO10" s="239" t="e">
        <f>INDEX(Data!$VM$2:$VQ$16,'Cellular Blinds'!AM10,'Cellular Blinds'!AN10)</f>
        <v>#N/A</v>
      </c>
      <c r="AP10" s="33" t="e">
        <f>VLOOKUP(P10,Data!$UW$14:$UX$28,2,FALSE)</f>
        <v>#N/A</v>
      </c>
      <c r="AQ10" s="239" t="e">
        <f>MATCH(E10, Data!$XS$2:$XS$6,0)</f>
        <v>#N/A</v>
      </c>
      <c r="AR10" s="239" t="e">
        <f>MATCH(F10,Data!$XT$1:$YR$1,0)</f>
        <v>#N/A</v>
      </c>
      <c r="AS10" s="239" t="e">
        <f>INDEX(Data!$XT$2:$YR$6,'Cellular Blinds'!AQ10,'Cellular Blinds'!AR10)</f>
        <v>#N/A</v>
      </c>
      <c r="AT10" s="239" t="b">
        <f>IF(D10=Data!$YU$2,Data!$YV$1,IF(D10=Data!$YU$3,Data!$YW$1,IF(D10=Data!$YU$4,Data!$YX$1,IF(D10=Data!$YU$5,Data!$YY$1,IF(D10=Data!$YU$6,Data!$YZ$1,IF(D10=Data!$YU$7,Data!$ZA$1,IF(D10=Data!$YU$8,Data!$ZB$1,IF(D10=Data!$YU$9,Data!$ZC$1,IF(D10=Data!$YU$10,Data!$ZD$1,IF(D10=Data!$YU$11,Data!$ZE$1,IF(D10=Data!$YU$12,Data!$ZE$1,IF(D10=Data!$YU$13,Data!$ZE$1,IF(D10=Data!$YU$14,Data!$ZG$11,IF(D10=Data!$YU$15,Data!$ZF$11))))))))))))))</f>
        <v>0</v>
      </c>
      <c r="AU10" s="239" t="str">
        <f>IF(D10="","",IF(E10=Data!$ZI$2,VLOOKUP(D10,Data!$ZK$2:$ZL$15,2,FALSE),IF(E10=Data!$ZI$1,VLOOKUP(D10,Data!$ZQ$2:$ZR$13,2,FALSE),IF(E10=Data!$ZI$3,VLOOKUP(D10,Data!$ZW$2:$ZX$13,2,FALSE),IF(E10=Data!$ZI$4,VLOOKUP(D10,Data!$AAC$2:$AAD$13,2,FALSE),IF(E10=Data!$ZI$5,VLOOKUP(D10,Data!$AAC$26:$AAD$37,2,FALSE)))))))</f>
        <v/>
      </c>
      <c r="AV10" s="251" t="str">
        <f t="shared" si="12"/>
        <v/>
      </c>
      <c r="AW10" s="251" t="str">
        <f t="shared" si="13"/>
        <v/>
      </c>
      <c r="AX10" s="239" t="str">
        <f t="shared" si="14"/>
        <v/>
      </c>
      <c r="BA10" s="33" t="str">
        <f t="shared" si="15"/>
        <v>FittingBoth</v>
      </c>
      <c r="BH10" t="s">
        <v>1852</v>
      </c>
      <c r="BI10" t="s">
        <v>69</v>
      </c>
      <c r="BJ10"/>
      <c r="BK10"/>
      <c r="BL10" t="s">
        <v>2309</v>
      </c>
      <c r="BM10"/>
      <c r="BN10" s="476" t="str">
        <f t="shared" si="1"/>
        <v>UChannelNA</v>
      </c>
      <c r="BO10" s="476" t="e">
        <f t="shared" si="16"/>
        <v>#N/A</v>
      </c>
      <c r="BP10" s="476" t="str">
        <f t="shared" si="17"/>
        <v>No</v>
      </c>
      <c r="BQ10" s="476" t="str">
        <f t="shared" si="18"/>
        <v>No</v>
      </c>
      <c r="BR10" s="476" t="e">
        <f t="shared" si="2"/>
        <v>#N/A</v>
      </c>
      <c r="BS10" s="476" t="s">
        <v>1207</v>
      </c>
      <c r="BT10" s="476" t="s">
        <v>69</v>
      </c>
      <c r="BU10" s="172">
        <f t="shared" si="19"/>
        <v>2</v>
      </c>
      <c r="BX10" s="33" t="s">
        <v>2309</v>
      </c>
      <c r="BY10" s="33" t="str">
        <f>$BZ$7</f>
        <v>ChannelYes</v>
      </c>
      <c r="BZ10" t="s">
        <v>2347</v>
      </c>
      <c r="CB10" s="33" t="e">
        <f t="shared" si="3"/>
        <v>#N/A</v>
      </c>
      <c r="CC10" s="172" t="b">
        <f t="shared" si="4"/>
        <v>0</v>
      </c>
      <c r="CD10" s="172">
        <f t="shared" si="5"/>
        <v>0</v>
      </c>
      <c r="CE10" s="172">
        <f t="shared" si="6"/>
        <v>0</v>
      </c>
      <c r="CF10" s="172">
        <f t="shared" si="7"/>
        <v>0</v>
      </c>
      <c r="CG10" s="172">
        <f t="shared" si="8"/>
        <v>0</v>
      </c>
      <c r="CL10" s="239" t="str">
        <f>IF(D10="","",IF(E10=Data!$ZI$2,VLOOKUP(D10,Data!$ZK$2:$ZP$15,3,FALSE),IF(E10=Data!$ZI$1,VLOOKUP(D10,Data!$ZQ$2:$ZS$13,3,FALSE),IF(E10=Data!$ZI$3,VLOOKUP(D10,Data!$ZW$2:$AAB$13,3,FALSE),IF(E10=Data!$ZI$4,VLOOKUP(D10,Data!$AAC$2:$AAI$13,3,FALSE),IF(E10=Data!$ZI$5,VLOOKUP(D10,Data!$AAC$26:$AAI$37,3,FALSE)))))))</f>
        <v/>
      </c>
      <c r="CM10" s="251">
        <f t="shared" si="20"/>
        <v>0</v>
      </c>
      <c r="CN10" s="251" t="e">
        <f t="shared" si="21"/>
        <v>#VALUE!</v>
      </c>
      <c r="CO10" s="239" t="e">
        <f t="shared" si="22"/>
        <v>#VALUE!</v>
      </c>
      <c r="CP10" s="239" t="str">
        <f>IF(D10="","",IF(E10=Data!$ZI$2,VLOOKUP(D10,Data!$ZK$2:$ZN$15,4,FALSE),IF(E10=Data!$ZI$1,VLOOKUP(D10,Data!$ZQ$2:$ZT$13,4,FALSE),IF(E10=Data!$ZI$3,VLOOKUP(D10,Data!$ZW$2:$AAC$13,4,FALSE),IF(E10=Data!$ZI$4,VLOOKUP(D10,Data!$AAC$2:$AAJ$13,4,FALSE),IF(E10=Data!$ZI$5,VLOOKUP(D10,Data!$AAC$26:$AAJ$37,4,FALSE)))))))</f>
        <v/>
      </c>
      <c r="CQ10" s="251">
        <f t="shared" si="23"/>
        <v>0</v>
      </c>
      <c r="CR10" s="251" t="e">
        <f t="shared" si="24"/>
        <v>#VALUE!</v>
      </c>
      <c r="CS10" s="239" t="e">
        <f t="shared" si="25"/>
        <v>#VALUE!</v>
      </c>
      <c r="CT10" s="311">
        <f t="shared" si="26"/>
        <v>0</v>
      </c>
      <c r="CU10" s="239" t="str">
        <f>IF(D10="","",IF(E10=Data!$ZI$2,VLOOKUP(D10,Data!$ZK$2:$ZO$15,5,FALSE),IF(E10=Data!$ZI$1,VLOOKUP(D10,Data!$ZQ$2:$ZU$13,5,FALSE),IF(E10=Data!$ZI$3,VLOOKUP(D10,Data!$ZW$2:$AAD$13,5,FALSE),IF(E10=Data!$ZI$4,VLOOKUP(D10,Data!$AAC$2:$AAK$13,5,FALSE),IF(E10=Data!$ZI$5,VLOOKUP(D10,Data!$AAC$26:$AAK$37,5,FALSE)))))))</f>
        <v/>
      </c>
      <c r="CV10" s="251">
        <f t="shared" si="27"/>
        <v>0</v>
      </c>
      <c r="CW10" s="251" t="e">
        <f t="shared" si="28"/>
        <v>#VALUE!</v>
      </c>
      <c r="CX10" s="239" t="e">
        <f t="shared" si="29"/>
        <v>#VALUE!</v>
      </c>
      <c r="CY10" s="239" t="str">
        <f>IF(D10="","",IF(E10=Data!$ZI$2,VLOOKUP(D10,Data!$ZK$2:$ZP$15,6,FALSE),IF(E10=Data!$ZI$1,VLOOKUP(D10,Data!$ZQ$2:$ZV$13,6,FALSE),IF(E10=Data!$ZI$3,VLOOKUP(D10,Data!$ZW$2:$AAE$13,6,FALSE),IF(E10=Data!$ZI$4,VLOOKUP(D10,Data!$AAC$2:$AAL$13,6,FALSE),IF(E10=Data!$ZI$5,VLOOKUP(D10,Data!$AAC$26:$AAL$37,6,FALSE)))))))</f>
        <v/>
      </c>
      <c r="CZ10" s="251">
        <f t="shared" si="30"/>
        <v>0</v>
      </c>
      <c r="DA10" s="251" t="e">
        <f t="shared" si="31"/>
        <v>#VALUE!</v>
      </c>
      <c r="DB10" s="239" t="e">
        <f t="shared" si="32"/>
        <v>#VALUE!</v>
      </c>
      <c r="DC10" s="311">
        <f t="shared" si="33"/>
        <v>0</v>
      </c>
    </row>
    <row r="11" spans="1:107" ht="30" customHeight="1">
      <c r="A11" s="52">
        <v>4</v>
      </c>
      <c r="B11" s="17"/>
      <c r="C11" s="17"/>
      <c r="D11" s="13"/>
      <c r="E11" s="235"/>
      <c r="F11" s="235"/>
      <c r="G11" s="235"/>
      <c r="H11" s="235"/>
      <c r="I11" s="14"/>
      <c r="J11" s="14"/>
      <c r="K11" s="14"/>
      <c r="L11" s="14"/>
      <c r="M11" s="525"/>
      <c r="N11" s="526"/>
      <c r="O11" s="15"/>
      <c r="P11" s="15"/>
      <c r="Q11" s="15"/>
      <c r="R11" s="15"/>
      <c r="S11" s="15"/>
      <c r="T11" s="13" t="str">
        <f t="shared" si="9"/>
        <v/>
      </c>
      <c r="U11" s="253" t="str">
        <f t="shared" si="10"/>
        <v/>
      </c>
      <c r="V11" s="471"/>
      <c r="W11" s="482" t="b">
        <f t="shared" si="11"/>
        <v>0</v>
      </c>
      <c r="X11" s="230"/>
      <c r="Y11" s="253"/>
      <c r="AA11" s="33" t="str">
        <f>IF(SUM(--ISNUMBER(SEARCH({"Skylight"}, D11))),Data!$AJ$19,Data!$AJ$1)</f>
        <v>WindowType</v>
      </c>
      <c r="AB11" s="33" t="str">
        <f t="shared" si="0"/>
        <v>OK</v>
      </c>
      <c r="AC11" s="33" t="str">
        <f>IF(COUNTIF($K$8:$K$57,Data!KF6),Data!KG6,"")</f>
        <v/>
      </c>
      <c r="AE11" s="239" t="e">
        <f>MATCH(E11, Data!$TB$2:$TB$6,0)</f>
        <v>#N/A</v>
      </c>
      <c r="AF11" s="239" t="e">
        <f>MATCH(F11,Data!$TC$1:$UB$1,0)</f>
        <v>#N/A</v>
      </c>
      <c r="AG11" s="239" t="e">
        <f>INDEX(Data!$TC$2:$UB$6,'Cellular Blinds'!AE11,'Cellular Blinds'!AF11)</f>
        <v>#N/A</v>
      </c>
      <c r="AH11" s="33" t="e">
        <f>VLOOKUP(D11,Data!$RU$2:$RV$15,2,FALSE)</f>
        <v>#N/A</v>
      </c>
      <c r="AI11" s="33" t="b">
        <f>IF(D11=Data!$UT$2,Data!$UU$1,IF(D11=Data!$UT$3,Data!$UV$1,IF(D11=Data!$UT$4,Data!$UW$1,IF(D11=Data!$UT$5,Data!$UX$1,IF(D11=Data!$UT$6,Data!$UY$1,IF(D11=Data!$UT$7,Data!$UZ$1,IF(D11=Data!$UT$8,Data!$VA$1,IF(D11=Data!$UT$9,Data!$VB$1,IF(D11=Data!$UT$10,Data!$VC$1,IF(D11=Data!$UT$11,Data!$VD$1,IF(D11=Data!$UT$12,Data!$VD$22,IF(D11=Data!$UT$13,Data!$VD$22,IF(D11=Data!$UT$14,Data!$UU$13,IF(D11=Data!$UT$15,Data!$UV$13))))))))))))))</f>
        <v>0</v>
      </c>
      <c r="AJ11" s="239" t="e">
        <f>MATCH(D11,Data!$VL$27:$VL$40,0)</f>
        <v>#N/A</v>
      </c>
      <c r="AK11" s="239" t="e">
        <f>MATCH(E11,Data!$VM$26:$VQ$26,0)</f>
        <v>#N/A</v>
      </c>
      <c r="AL11" s="239" t="e">
        <f>INDEX(Data!$VM$27:$VQ$40,'Cellular Blinds'!AJ11,'Cellular Blinds'!AK11)</f>
        <v>#N/A</v>
      </c>
      <c r="AM11" s="239" t="e">
        <f>MATCH(D11, Data!$VL$2:$VL$16,0)</f>
        <v>#N/A</v>
      </c>
      <c r="AN11" s="239" t="e">
        <f>MATCH(E11,Data!$VM$1:$VQ$1,0)</f>
        <v>#N/A</v>
      </c>
      <c r="AO11" s="239" t="e">
        <f>INDEX(Data!$VM$2:$VQ$16,'Cellular Blinds'!AM11,'Cellular Blinds'!AN11)</f>
        <v>#N/A</v>
      </c>
      <c r="AP11" s="33" t="e">
        <f>VLOOKUP(P11,Data!$UW$14:$UX$28,2,FALSE)</f>
        <v>#N/A</v>
      </c>
      <c r="AQ11" s="239" t="e">
        <f>MATCH(E11, Data!$XS$2:$XS$6,0)</f>
        <v>#N/A</v>
      </c>
      <c r="AR11" s="239" t="e">
        <f>MATCH(F11,Data!$XT$1:$YR$1,0)</f>
        <v>#N/A</v>
      </c>
      <c r="AS11" s="239" t="e">
        <f>INDEX(Data!$XT$2:$YR$6,'Cellular Blinds'!AQ11,'Cellular Blinds'!AR11)</f>
        <v>#N/A</v>
      </c>
      <c r="AT11" s="239" t="b">
        <f>IF(D11=Data!$YU$2,Data!$YV$1,IF(D11=Data!$YU$3,Data!$YW$1,IF(D11=Data!$YU$4,Data!$YX$1,IF(D11=Data!$YU$5,Data!$YY$1,IF(D11=Data!$YU$6,Data!$YZ$1,IF(D11=Data!$YU$7,Data!$ZA$1,IF(D11=Data!$YU$8,Data!$ZB$1,IF(D11=Data!$YU$9,Data!$ZC$1,IF(D11=Data!$YU$10,Data!$ZD$1,IF(D11=Data!$YU$11,Data!$ZE$1,IF(D11=Data!$YU$12,Data!$ZE$1,IF(D11=Data!$YU$13,Data!$ZE$1,IF(D11=Data!$YU$14,Data!$ZG$11,IF(D11=Data!$YU$15,Data!$ZF$11))))))))))))))</f>
        <v>0</v>
      </c>
      <c r="AU11" s="239" t="str">
        <f>IF(D11="","",IF(E11=Data!$ZI$2,VLOOKUP(D11,Data!$ZK$2:$ZL$15,2,FALSE),IF(E11=Data!$ZI$1,VLOOKUP(D11,Data!$ZQ$2:$ZR$13,2,FALSE),IF(E11=Data!$ZI$3,VLOOKUP(D11,Data!$ZW$2:$ZX$13,2,FALSE),IF(E11=Data!$ZI$4,VLOOKUP(D11,Data!$AAC$2:$AAD$13,2,FALSE),IF(E11=Data!$ZI$5,VLOOKUP(D11,Data!$AAC$26:$AAD$37,2,FALSE)))))))</f>
        <v/>
      </c>
      <c r="AV11" s="251" t="str">
        <f t="shared" si="12"/>
        <v/>
      </c>
      <c r="AW11" s="251" t="str">
        <f t="shared" si="13"/>
        <v/>
      </c>
      <c r="AX11" s="239" t="str">
        <f t="shared" si="14"/>
        <v/>
      </c>
      <c r="BA11" s="33" t="str">
        <f t="shared" si="15"/>
        <v>FittingBoth</v>
      </c>
      <c r="BH11" t="s">
        <v>1176</v>
      </c>
      <c r="BI11" t="s">
        <v>69</v>
      </c>
      <c r="BJ11"/>
      <c r="BK11"/>
      <c r="BL11"/>
      <c r="BM11"/>
      <c r="BN11" s="476" t="str">
        <f t="shared" si="1"/>
        <v>UChannelNA</v>
      </c>
      <c r="BO11" s="476" t="e">
        <f t="shared" si="16"/>
        <v>#N/A</v>
      </c>
      <c r="BP11" s="476" t="str">
        <f t="shared" si="17"/>
        <v>No</v>
      </c>
      <c r="BQ11" s="476" t="str">
        <f t="shared" si="18"/>
        <v>No</v>
      </c>
      <c r="BR11" s="476" t="e">
        <f t="shared" si="2"/>
        <v>#N/A</v>
      </c>
      <c r="BS11" s="476" t="s">
        <v>1201</v>
      </c>
      <c r="BT11" s="476" t="s">
        <v>22</v>
      </c>
      <c r="BU11" s="172">
        <f t="shared" si="19"/>
        <v>2</v>
      </c>
      <c r="BX11" s="33" t="s">
        <v>332</v>
      </c>
      <c r="BY11" s="33" t="str">
        <f>$CA$7</f>
        <v>ChannelNo</v>
      </c>
      <c r="BZ11" t="s">
        <v>2345</v>
      </c>
      <c r="CB11" s="33" t="e">
        <f t="shared" si="3"/>
        <v>#N/A</v>
      </c>
      <c r="CC11" s="172" t="b">
        <f t="shared" si="4"/>
        <v>0</v>
      </c>
      <c r="CD11" s="172">
        <f t="shared" si="5"/>
        <v>0</v>
      </c>
      <c r="CE11" s="172">
        <f t="shared" si="6"/>
        <v>0</v>
      </c>
      <c r="CF11" s="172">
        <f t="shared" si="7"/>
        <v>0</v>
      </c>
      <c r="CG11" s="172">
        <f t="shared" si="8"/>
        <v>0</v>
      </c>
      <c r="CL11" s="239" t="str">
        <f>IF(D11="","",IF(E11=Data!$ZI$2,VLOOKUP(D11,Data!$ZK$2:$ZP$15,3,FALSE),IF(E11=Data!$ZI$1,VLOOKUP(D11,Data!$ZQ$2:$ZS$13,3,FALSE),IF(E11=Data!$ZI$3,VLOOKUP(D11,Data!$ZW$2:$AAB$13,3,FALSE),IF(E11=Data!$ZI$4,VLOOKUP(D11,Data!$AAC$2:$AAI$13,3,FALSE),IF(E11=Data!$ZI$5,VLOOKUP(D11,Data!$AAC$26:$AAI$37,3,FALSE)))))))</f>
        <v/>
      </c>
      <c r="CM11" s="251">
        <f t="shared" si="20"/>
        <v>0</v>
      </c>
      <c r="CN11" s="251" t="e">
        <f t="shared" si="21"/>
        <v>#VALUE!</v>
      </c>
      <c r="CO11" s="239" t="e">
        <f t="shared" si="22"/>
        <v>#VALUE!</v>
      </c>
      <c r="CP11" s="239" t="str">
        <f>IF(D11="","",IF(E11=Data!$ZI$2,VLOOKUP(D11,Data!$ZK$2:$ZN$15,4,FALSE),IF(E11=Data!$ZI$1,VLOOKUP(D11,Data!$ZQ$2:$ZT$13,4,FALSE),IF(E11=Data!$ZI$3,VLOOKUP(D11,Data!$ZW$2:$AAC$13,4,FALSE),IF(E11=Data!$ZI$4,VLOOKUP(D11,Data!$AAC$2:$AAJ$13,4,FALSE),IF(E11=Data!$ZI$5,VLOOKUP(D11,Data!$AAC$26:$AAJ$37,4,FALSE)))))))</f>
        <v/>
      </c>
      <c r="CQ11" s="251">
        <f t="shared" si="23"/>
        <v>0</v>
      </c>
      <c r="CR11" s="251" t="e">
        <f t="shared" si="24"/>
        <v>#VALUE!</v>
      </c>
      <c r="CS11" s="239" t="e">
        <f t="shared" si="25"/>
        <v>#VALUE!</v>
      </c>
      <c r="CT11" s="311">
        <f t="shared" si="26"/>
        <v>0</v>
      </c>
      <c r="CU11" s="239" t="str">
        <f>IF(D11="","",IF(E11=Data!$ZI$2,VLOOKUP(D11,Data!$ZK$2:$ZO$15,5,FALSE),IF(E11=Data!$ZI$1,VLOOKUP(D11,Data!$ZQ$2:$ZU$13,5,FALSE),IF(E11=Data!$ZI$3,VLOOKUP(D11,Data!$ZW$2:$AAD$13,5,FALSE),IF(E11=Data!$ZI$4,VLOOKUP(D11,Data!$AAC$2:$AAK$13,5,FALSE),IF(E11=Data!$ZI$5,VLOOKUP(D11,Data!$AAC$26:$AAK$37,5,FALSE)))))))</f>
        <v/>
      </c>
      <c r="CV11" s="251">
        <f t="shared" si="27"/>
        <v>0</v>
      </c>
      <c r="CW11" s="251" t="e">
        <f t="shared" si="28"/>
        <v>#VALUE!</v>
      </c>
      <c r="CX11" s="239" t="e">
        <f t="shared" si="29"/>
        <v>#VALUE!</v>
      </c>
      <c r="CY11" s="239" t="str">
        <f>IF(D11="","",IF(E11=Data!$ZI$2,VLOOKUP(D11,Data!$ZK$2:$ZP$15,6,FALSE),IF(E11=Data!$ZI$1,VLOOKUP(D11,Data!$ZQ$2:$ZV$13,6,FALSE),IF(E11=Data!$ZI$3,VLOOKUP(D11,Data!$ZW$2:$AAE$13,6,FALSE),IF(E11=Data!$ZI$4,VLOOKUP(D11,Data!$AAC$2:$AAL$13,6,FALSE),IF(E11=Data!$ZI$5,VLOOKUP(D11,Data!$AAC$26:$AAL$37,6,FALSE)))))))</f>
        <v/>
      </c>
      <c r="CZ11" s="251">
        <f t="shared" si="30"/>
        <v>0</v>
      </c>
      <c r="DA11" s="251" t="e">
        <f t="shared" si="31"/>
        <v>#VALUE!</v>
      </c>
      <c r="DB11" s="239" t="e">
        <f t="shared" si="32"/>
        <v>#VALUE!</v>
      </c>
      <c r="DC11" s="311">
        <f t="shared" si="33"/>
        <v>0</v>
      </c>
    </row>
    <row r="12" spans="1:107" ht="30" customHeight="1">
      <c r="A12" s="52">
        <v>5</v>
      </c>
      <c r="B12" s="17"/>
      <c r="C12" s="17"/>
      <c r="D12" s="13"/>
      <c r="E12" s="235"/>
      <c r="F12" s="235"/>
      <c r="G12" s="235"/>
      <c r="H12" s="235"/>
      <c r="I12" s="14"/>
      <c r="J12" s="14"/>
      <c r="K12" s="14"/>
      <c r="L12" s="14"/>
      <c r="M12" s="525"/>
      <c r="N12" s="526"/>
      <c r="O12" s="15"/>
      <c r="P12" s="15"/>
      <c r="Q12" s="15"/>
      <c r="R12" s="15"/>
      <c r="S12" s="15"/>
      <c r="T12" s="13" t="str">
        <f t="shared" si="9"/>
        <v/>
      </c>
      <c r="U12" s="253" t="str">
        <f t="shared" si="10"/>
        <v/>
      </c>
      <c r="V12" s="471"/>
      <c r="W12" s="482" t="b">
        <f t="shared" si="11"/>
        <v>0</v>
      </c>
      <c r="X12" s="230"/>
      <c r="Y12" s="253"/>
      <c r="AA12" s="33" t="str">
        <f>IF(SUM(--ISNUMBER(SEARCH({"Skylight"}, D12))),Data!$AJ$19,Data!$AJ$1)</f>
        <v>WindowType</v>
      </c>
      <c r="AB12" s="33" t="str">
        <f t="shared" si="0"/>
        <v>OK</v>
      </c>
      <c r="AC12" s="33" t="str">
        <f>IF(COUNTIF($K$8:$K$57,Data!KF7),Data!KG7,"")</f>
        <v/>
      </c>
      <c r="AE12" s="239" t="e">
        <f>MATCH(E12, Data!$TB$2:$TB$6,0)</f>
        <v>#N/A</v>
      </c>
      <c r="AF12" s="239" t="e">
        <f>MATCH(F12,Data!$TC$1:$UB$1,0)</f>
        <v>#N/A</v>
      </c>
      <c r="AG12" s="239" t="e">
        <f>INDEX(Data!$TC$2:$UB$6,'Cellular Blinds'!AE12,'Cellular Blinds'!AF12)</f>
        <v>#N/A</v>
      </c>
      <c r="AH12" s="33" t="e">
        <f>VLOOKUP(D12,Data!$RU$2:$RV$15,2,FALSE)</f>
        <v>#N/A</v>
      </c>
      <c r="AI12" s="33" t="b">
        <f>IF(D12=Data!$UT$2,Data!$UU$1,IF(D12=Data!$UT$3,Data!$UV$1,IF(D12=Data!$UT$4,Data!$UW$1,IF(D12=Data!$UT$5,Data!$UX$1,IF(D12=Data!$UT$6,Data!$UY$1,IF(D12=Data!$UT$7,Data!$UZ$1,IF(D12=Data!$UT$8,Data!$VA$1,IF(D12=Data!$UT$9,Data!$VB$1,IF(D12=Data!$UT$10,Data!$VC$1,IF(D12=Data!$UT$11,Data!$VD$1,IF(D12=Data!$UT$12,Data!$VD$22,IF(D12=Data!$UT$13,Data!$VD$22,IF(D12=Data!$UT$14,Data!$UU$13,IF(D12=Data!$UT$15,Data!$UV$13))))))))))))))</f>
        <v>0</v>
      </c>
      <c r="AJ12" s="239" t="e">
        <f>MATCH(D12,Data!$VL$27:$VL$40,0)</f>
        <v>#N/A</v>
      </c>
      <c r="AK12" s="239" t="e">
        <f>MATCH(E12,Data!$VM$26:$VQ$26,0)</f>
        <v>#N/A</v>
      </c>
      <c r="AL12" s="239" t="e">
        <f>INDEX(Data!$VM$27:$VQ$40,'Cellular Blinds'!AJ12,'Cellular Blinds'!AK12)</f>
        <v>#N/A</v>
      </c>
      <c r="AM12" s="239" t="e">
        <f>MATCH(D12, Data!$VL$2:$VL$16,0)</f>
        <v>#N/A</v>
      </c>
      <c r="AN12" s="239" t="e">
        <f>MATCH(E12,Data!$VM$1:$VQ$1,0)</f>
        <v>#N/A</v>
      </c>
      <c r="AO12" s="239" t="e">
        <f>INDEX(Data!$VM$2:$VQ$16,'Cellular Blinds'!AM12,'Cellular Blinds'!AN12)</f>
        <v>#N/A</v>
      </c>
      <c r="AP12" s="33" t="e">
        <f>VLOOKUP(P12,Data!$UW$14:$UX$28,2,FALSE)</f>
        <v>#N/A</v>
      </c>
      <c r="AQ12" s="239" t="e">
        <f>MATCH(E12, Data!$XS$2:$XS$6,0)</f>
        <v>#N/A</v>
      </c>
      <c r="AR12" s="239" t="e">
        <f>MATCH(F12,Data!$XT$1:$YR$1,0)</f>
        <v>#N/A</v>
      </c>
      <c r="AS12" s="239" t="e">
        <f>INDEX(Data!$XT$2:$YR$6,'Cellular Blinds'!AQ12,'Cellular Blinds'!AR12)</f>
        <v>#N/A</v>
      </c>
      <c r="AT12" s="239" t="b">
        <f>IF(D12=Data!$YU$2,Data!$YV$1,IF(D12=Data!$YU$3,Data!$YW$1,IF(D12=Data!$YU$4,Data!$YX$1,IF(D12=Data!$YU$5,Data!$YY$1,IF(D12=Data!$YU$6,Data!$YZ$1,IF(D12=Data!$YU$7,Data!$ZA$1,IF(D12=Data!$YU$8,Data!$ZB$1,IF(D12=Data!$YU$9,Data!$ZC$1,IF(D12=Data!$YU$10,Data!$ZD$1,IF(D12=Data!$YU$11,Data!$ZE$1,IF(D12=Data!$YU$12,Data!$ZE$1,IF(D12=Data!$YU$13,Data!$ZE$1,IF(D12=Data!$YU$14,Data!$ZG$11,IF(D12=Data!$YU$15,Data!$ZF$11))))))))))))))</f>
        <v>0</v>
      </c>
      <c r="AU12" s="239" t="str">
        <f>IF(D12="","",IF(E12=Data!$ZI$2,VLOOKUP(D12,Data!$ZK$2:$ZL$15,2,FALSE),IF(E12=Data!$ZI$1,VLOOKUP(D12,Data!$ZQ$2:$ZR$13,2,FALSE),IF(E12=Data!$ZI$3,VLOOKUP(D12,Data!$ZW$2:$ZX$13,2,FALSE),IF(E12=Data!$ZI$4,VLOOKUP(D12,Data!$AAC$2:$AAD$13,2,FALSE),IF(E12=Data!$ZI$5,VLOOKUP(D12,Data!$AAC$26:$AAD$37,2,FALSE)))))))</f>
        <v/>
      </c>
      <c r="AV12" s="251" t="str">
        <f t="shared" si="12"/>
        <v/>
      </c>
      <c r="AW12" s="251" t="str">
        <f t="shared" si="13"/>
        <v/>
      </c>
      <c r="AX12" s="239" t="str">
        <f t="shared" si="14"/>
        <v/>
      </c>
      <c r="BA12" s="33" t="str">
        <f t="shared" si="15"/>
        <v>FittingBoth</v>
      </c>
      <c r="BH12" t="s">
        <v>2137</v>
      </c>
      <c r="BI12" t="s">
        <v>69</v>
      </c>
      <c r="BJ12"/>
      <c r="BK12"/>
      <c r="BL12"/>
      <c r="BM12"/>
      <c r="BN12" s="476" t="str">
        <f t="shared" si="1"/>
        <v>UChannelNA</v>
      </c>
      <c r="BO12" s="476" t="e">
        <f t="shared" si="16"/>
        <v>#N/A</v>
      </c>
      <c r="BP12" s="476" t="str">
        <f t="shared" si="17"/>
        <v>No</v>
      </c>
      <c r="BQ12" s="476" t="str">
        <f t="shared" si="18"/>
        <v>No</v>
      </c>
      <c r="BR12" s="476" t="e">
        <f t="shared" si="2"/>
        <v>#N/A</v>
      </c>
      <c r="BS12" s="476" t="s">
        <v>1212</v>
      </c>
      <c r="BT12" s="476" t="s">
        <v>69</v>
      </c>
      <c r="BU12" s="172">
        <f t="shared" si="19"/>
        <v>2</v>
      </c>
      <c r="CB12" s="33" t="e">
        <f t="shared" si="3"/>
        <v>#N/A</v>
      </c>
      <c r="CC12" s="172" t="b">
        <f t="shared" si="4"/>
        <v>0</v>
      </c>
      <c r="CD12" s="172">
        <f t="shared" si="5"/>
        <v>0</v>
      </c>
      <c r="CE12" s="172">
        <f t="shared" si="6"/>
        <v>0</v>
      </c>
      <c r="CF12" s="172">
        <f t="shared" si="7"/>
        <v>0</v>
      </c>
      <c r="CG12" s="172">
        <f t="shared" si="8"/>
        <v>0</v>
      </c>
      <c r="CL12" s="239" t="str">
        <f>IF(D12="","",IF(E12=Data!$ZI$2,VLOOKUP(D12,Data!$ZK$2:$ZP$15,3,FALSE),IF(E12=Data!$ZI$1,VLOOKUP(D12,Data!$ZQ$2:$ZS$13,3,FALSE),IF(E12=Data!$ZI$3,VLOOKUP(D12,Data!$ZW$2:$AAB$13,3,FALSE),IF(E12=Data!$ZI$4,VLOOKUP(D12,Data!$AAC$2:$AAI$13,3,FALSE),IF(E12=Data!$ZI$5,VLOOKUP(D12,Data!$AAC$26:$AAI$37,3,FALSE)))))))</f>
        <v/>
      </c>
      <c r="CM12" s="251">
        <f t="shared" si="20"/>
        <v>0</v>
      </c>
      <c r="CN12" s="251" t="e">
        <f t="shared" si="21"/>
        <v>#VALUE!</v>
      </c>
      <c r="CO12" s="239" t="e">
        <f t="shared" si="22"/>
        <v>#VALUE!</v>
      </c>
      <c r="CP12" s="239" t="str">
        <f>IF(D12="","",IF(E12=Data!$ZI$2,VLOOKUP(D12,Data!$ZK$2:$ZN$15,4,FALSE),IF(E12=Data!$ZI$1,VLOOKUP(D12,Data!$ZQ$2:$ZT$13,4,FALSE),IF(E12=Data!$ZI$3,VLOOKUP(D12,Data!$ZW$2:$AAC$13,4,FALSE),IF(E12=Data!$ZI$4,VLOOKUP(D12,Data!$AAC$2:$AAJ$13,4,FALSE),IF(E12=Data!$ZI$5,VLOOKUP(D12,Data!$AAC$26:$AAJ$37,4,FALSE)))))))</f>
        <v/>
      </c>
      <c r="CQ12" s="251">
        <f t="shared" si="23"/>
        <v>0</v>
      </c>
      <c r="CR12" s="251" t="e">
        <f t="shared" si="24"/>
        <v>#VALUE!</v>
      </c>
      <c r="CS12" s="239" t="e">
        <f t="shared" si="25"/>
        <v>#VALUE!</v>
      </c>
      <c r="CT12" s="311">
        <f t="shared" si="26"/>
        <v>0</v>
      </c>
      <c r="CU12" s="239" t="str">
        <f>IF(D12="","",IF(E12=Data!$ZI$2,VLOOKUP(D12,Data!$ZK$2:$ZO$15,5,FALSE),IF(E12=Data!$ZI$1,VLOOKUP(D12,Data!$ZQ$2:$ZU$13,5,FALSE),IF(E12=Data!$ZI$3,VLOOKUP(D12,Data!$ZW$2:$AAD$13,5,FALSE),IF(E12=Data!$ZI$4,VLOOKUP(D12,Data!$AAC$2:$AAK$13,5,FALSE),IF(E12=Data!$ZI$5,VLOOKUP(D12,Data!$AAC$26:$AAK$37,5,FALSE)))))))</f>
        <v/>
      </c>
      <c r="CV12" s="251">
        <f t="shared" si="27"/>
        <v>0</v>
      </c>
      <c r="CW12" s="251" t="e">
        <f t="shared" si="28"/>
        <v>#VALUE!</v>
      </c>
      <c r="CX12" s="239" t="e">
        <f t="shared" si="29"/>
        <v>#VALUE!</v>
      </c>
      <c r="CY12" s="239" t="str">
        <f>IF(D12="","",IF(E12=Data!$ZI$2,VLOOKUP(D12,Data!$ZK$2:$ZP$15,6,FALSE),IF(E12=Data!$ZI$1,VLOOKUP(D12,Data!$ZQ$2:$ZV$13,6,FALSE),IF(E12=Data!$ZI$3,VLOOKUP(D12,Data!$ZW$2:$AAE$13,6,FALSE),IF(E12=Data!$ZI$4,VLOOKUP(D12,Data!$AAC$2:$AAL$13,6,FALSE),IF(E12=Data!$ZI$5,VLOOKUP(D12,Data!$AAC$26:$AAL$37,6,FALSE)))))))</f>
        <v/>
      </c>
      <c r="CZ12" s="251">
        <f t="shared" si="30"/>
        <v>0</v>
      </c>
      <c r="DA12" s="251" t="e">
        <f t="shared" si="31"/>
        <v>#VALUE!</v>
      </c>
      <c r="DB12" s="239" t="e">
        <f t="shared" si="32"/>
        <v>#VALUE!</v>
      </c>
      <c r="DC12" s="311">
        <f t="shared" si="33"/>
        <v>0</v>
      </c>
    </row>
    <row r="13" spans="1:107" ht="30" customHeight="1">
      <c r="A13" s="52">
        <v>6</v>
      </c>
      <c r="B13" s="17"/>
      <c r="C13" s="17"/>
      <c r="D13" s="13"/>
      <c r="E13" s="235"/>
      <c r="F13" s="235"/>
      <c r="G13" s="235"/>
      <c r="H13" s="235"/>
      <c r="I13" s="14"/>
      <c r="J13" s="14"/>
      <c r="K13" s="14"/>
      <c r="L13" s="14"/>
      <c r="M13" s="525"/>
      <c r="N13" s="526"/>
      <c r="O13" s="15"/>
      <c r="P13" s="15"/>
      <c r="Q13" s="15"/>
      <c r="R13" s="15"/>
      <c r="S13" s="15"/>
      <c r="T13" s="13" t="str">
        <f t="shared" si="9"/>
        <v/>
      </c>
      <c r="U13" s="253" t="str">
        <f t="shared" si="10"/>
        <v/>
      </c>
      <c r="V13" s="471"/>
      <c r="W13" s="482" t="b">
        <f t="shared" si="11"/>
        <v>0</v>
      </c>
      <c r="X13" s="230"/>
      <c r="Y13" s="253"/>
      <c r="AA13" s="33" t="str">
        <f>IF(SUM(--ISNUMBER(SEARCH({"Skylight"}, D13))),Data!$AJ$19,Data!$AJ$1)</f>
        <v>WindowType</v>
      </c>
      <c r="AB13" s="33" t="str">
        <f t="shared" si="0"/>
        <v>OK</v>
      </c>
      <c r="AC13" s="33" t="str">
        <f>IF(COUNTIF($K$8:$K$57,Data!KF8),Data!KG8,"")</f>
        <v/>
      </c>
      <c r="AE13" s="239" t="e">
        <f>MATCH(E13, Data!$TB$2:$TB$6,0)</f>
        <v>#N/A</v>
      </c>
      <c r="AF13" s="239" t="e">
        <f>MATCH(F13,Data!$TC$1:$UB$1,0)</f>
        <v>#N/A</v>
      </c>
      <c r="AG13" s="239" t="e">
        <f>INDEX(Data!$TC$2:$UB$6,'Cellular Blinds'!AE13,'Cellular Blinds'!AF13)</f>
        <v>#N/A</v>
      </c>
      <c r="AH13" s="33" t="e">
        <f>VLOOKUP(D13,Data!$RU$2:$RV$15,2,FALSE)</f>
        <v>#N/A</v>
      </c>
      <c r="AI13" s="33" t="b">
        <f>IF(D13=Data!$UT$2,Data!$UU$1,IF(D13=Data!$UT$3,Data!$UV$1,IF(D13=Data!$UT$4,Data!$UW$1,IF(D13=Data!$UT$5,Data!$UX$1,IF(D13=Data!$UT$6,Data!$UY$1,IF(D13=Data!$UT$7,Data!$UZ$1,IF(D13=Data!$UT$8,Data!$VA$1,IF(D13=Data!$UT$9,Data!$VB$1,IF(D13=Data!$UT$10,Data!$VC$1,IF(D13=Data!$UT$11,Data!$VD$1,IF(D13=Data!$UT$12,Data!$VD$22,IF(D13=Data!$UT$13,Data!$VD$22,IF(D13=Data!$UT$14,Data!$UU$13,IF(D13=Data!$UT$15,Data!$UV$13))))))))))))))</f>
        <v>0</v>
      </c>
      <c r="AJ13" s="239" t="e">
        <f>MATCH(D13,Data!$VL$27:$VL$40,0)</f>
        <v>#N/A</v>
      </c>
      <c r="AK13" s="239" t="e">
        <f>MATCH(E13,Data!$VM$26:$VQ$26,0)</f>
        <v>#N/A</v>
      </c>
      <c r="AL13" s="239" t="e">
        <f>INDEX(Data!$VM$27:$VQ$40,'Cellular Blinds'!AJ13,'Cellular Blinds'!AK13)</f>
        <v>#N/A</v>
      </c>
      <c r="AM13" s="239" t="e">
        <f>MATCH(D13, Data!$VL$2:$VL$16,0)</f>
        <v>#N/A</v>
      </c>
      <c r="AN13" s="239" t="e">
        <f>MATCH(E13,Data!$VM$1:$VQ$1,0)</f>
        <v>#N/A</v>
      </c>
      <c r="AO13" s="239" t="e">
        <f>INDEX(Data!$VM$2:$VQ$16,'Cellular Blinds'!AM13,'Cellular Blinds'!AN13)</f>
        <v>#N/A</v>
      </c>
      <c r="AP13" s="33" t="e">
        <f>VLOOKUP(P13,Data!$UW$14:$UX$28,2,FALSE)</f>
        <v>#N/A</v>
      </c>
      <c r="AQ13" s="239" t="e">
        <f>MATCH(E13, Data!$XS$2:$XS$6,0)</f>
        <v>#N/A</v>
      </c>
      <c r="AR13" s="239" t="e">
        <f>MATCH(F13,Data!$XT$1:$YR$1,0)</f>
        <v>#N/A</v>
      </c>
      <c r="AS13" s="239" t="e">
        <f>INDEX(Data!$XT$2:$YR$6,'Cellular Blinds'!AQ13,'Cellular Blinds'!AR13)</f>
        <v>#N/A</v>
      </c>
      <c r="AT13" s="239" t="b">
        <f>IF(D13=Data!$YU$2,Data!$YV$1,IF(D13=Data!$YU$3,Data!$YW$1,IF(D13=Data!$YU$4,Data!$YX$1,IF(D13=Data!$YU$5,Data!$YY$1,IF(D13=Data!$YU$6,Data!$YZ$1,IF(D13=Data!$YU$7,Data!$ZA$1,IF(D13=Data!$YU$8,Data!$ZB$1,IF(D13=Data!$YU$9,Data!$ZC$1,IF(D13=Data!$YU$10,Data!$ZD$1,IF(D13=Data!$YU$11,Data!$ZE$1,IF(D13=Data!$YU$12,Data!$ZE$1,IF(D13=Data!$YU$13,Data!$ZE$1,IF(D13=Data!$YU$14,Data!$ZG$11,IF(D13=Data!$YU$15,Data!$ZF$11))))))))))))))</f>
        <v>0</v>
      </c>
      <c r="AU13" s="239" t="str">
        <f>IF(D13="","",IF(E13=Data!$ZI$2,VLOOKUP(D13,Data!$ZK$2:$ZL$15,2,FALSE),IF(E13=Data!$ZI$1,VLOOKUP(D13,Data!$ZQ$2:$ZR$13,2,FALSE),IF(E13=Data!$ZI$3,VLOOKUP(D13,Data!$ZW$2:$ZX$13,2,FALSE),IF(E13=Data!$ZI$4,VLOOKUP(D13,Data!$AAC$2:$AAD$13,2,FALSE),IF(E13=Data!$ZI$5,VLOOKUP(D13,Data!$AAC$26:$AAD$37,2,FALSE)))))))</f>
        <v/>
      </c>
      <c r="AV13" s="251" t="str">
        <f t="shared" si="12"/>
        <v/>
      </c>
      <c r="AW13" s="251" t="str">
        <f t="shared" si="13"/>
        <v/>
      </c>
      <c r="AX13" s="239" t="str">
        <f t="shared" si="14"/>
        <v/>
      </c>
      <c r="BA13" s="33" t="str">
        <f t="shared" si="15"/>
        <v>FittingBoth</v>
      </c>
      <c r="BN13" s="476" t="str">
        <f t="shared" si="1"/>
        <v>UChannelNA</v>
      </c>
      <c r="BO13" s="476" t="e">
        <f t="shared" si="16"/>
        <v>#N/A</v>
      </c>
      <c r="BP13" s="476" t="str">
        <f t="shared" si="17"/>
        <v>No</v>
      </c>
      <c r="BQ13" s="476" t="str">
        <f t="shared" si="18"/>
        <v>No</v>
      </c>
      <c r="BR13" s="476" t="e">
        <f t="shared" si="2"/>
        <v>#N/A</v>
      </c>
      <c r="BS13" s="476" t="s">
        <v>1184</v>
      </c>
      <c r="BT13" s="476" t="s">
        <v>69</v>
      </c>
      <c r="BU13" s="172">
        <f t="shared" si="19"/>
        <v>2</v>
      </c>
      <c r="CB13" s="33" t="e">
        <f t="shared" si="3"/>
        <v>#N/A</v>
      </c>
      <c r="CC13" s="172" t="b">
        <f t="shared" si="4"/>
        <v>0</v>
      </c>
      <c r="CD13" s="172">
        <f t="shared" si="5"/>
        <v>0</v>
      </c>
      <c r="CE13" s="172">
        <f t="shared" si="6"/>
        <v>0</v>
      </c>
      <c r="CF13" s="172">
        <f t="shared" si="7"/>
        <v>0</v>
      </c>
      <c r="CG13" s="172">
        <f t="shared" si="8"/>
        <v>0</v>
      </c>
      <c r="CL13" s="239" t="str">
        <f>IF(D13="","",IF(E13=Data!$ZI$2,VLOOKUP(D13,Data!$ZK$2:$ZP$15,3,FALSE),IF(E13=Data!$ZI$1,VLOOKUP(D13,Data!$ZQ$2:$ZS$13,3,FALSE),IF(E13=Data!$ZI$3,VLOOKUP(D13,Data!$ZW$2:$AAB$13,3,FALSE),IF(E13=Data!$ZI$4,VLOOKUP(D13,Data!$AAC$2:$AAI$13,3,FALSE),IF(E13=Data!$ZI$5,VLOOKUP(D13,Data!$AAC$26:$AAI$37,3,FALSE)))))))</f>
        <v/>
      </c>
      <c r="CM13" s="251">
        <f t="shared" si="20"/>
        <v>0</v>
      </c>
      <c r="CN13" s="251" t="e">
        <f t="shared" si="21"/>
        <v>#VALUE!</v>
      </c>
      <c r="CO13" s="239" t="e">
        <f t="shared" si="22"/>
        <v>#VALUE!</v>
      </c>
      <c r="CP13" s="239" t="str">
        <f>IF(D13="","",IF(E13=Data!$ZI$2,VLOOKUP(D13,Data!$ZK$2:$ZN$15,4,FALSE),IF(E13=Data!$ZI$1,VLOOKUP(D13,Data!$ZQ$2:$ZT$13,4,FALSE),IF(E13=Data!$ZI$3,VLOOKUP(D13,Data!$ZW$2:$AAC$13,4,FALSE),IF(E13=Data!$ZI$4,VLOOKUP(D13,Data!$AAC$2:$AAJ$13,4,FALSE),IF(E13=Data!$ZI$5,VLOOKUP(D13,Data!$AAC$26:$AAJ$37,4,FALSE)))))))</f>
        <v/>
      </c>
      <c r="CQ13" s="251">
        <f t="shared" si="23"/>
        <v>0</v>
      </c>
      <c r="CR13" s="251" t="e">
        <f t="shared" si="24"/>
        <v>#VALUE!</v>
      </c>
      <c r="CS13" s="239" t="e">
        <f t="shared" si="25"/>
        <v>#VALUE!</v>
      </c>
      <c r="CT13" s="311">
        <f t="shared" si="26"/>
        <v>0</v>
      </c>
      <c r="CU13" s="239" t="str">
        <f>IF(D13="","",IF(E13=Data!$ZI$2,VLOOKUP(D13,Data!$ZK$2:$ZO$15,5,FALSE),IF(E13=Data!$ZI$1,VLOOKUP(D13,Data!$ZQ$2:$ZU$13,5,FALSE),IF(E13=Data!$ZI$3,VLOOKUP(D13,Data!$ZW$2:$AAD$13,5,FALSE),IF(E13=Data!$ZI$4,VLOOKUP(D13,Data!$AAC$2:$AAK$13,5,FALSE),IF(E13=Data!$ZI$5,VLOOKUP(D13,Data!$AAC$26:$AAK$37,5,FALSE)))))))</f>
        <v/>
      </c>
      <c r="CV13" s="251">
        <f t="shared" si="27"/>
        <v>0</v>
      </c>
      <c r="CW13" s="251" t="e">
        <f t="shared" si="28"/>
        <v>#VALUE!</v>
      </c>
      <c r="CX13" s="239" t="e">
        <f t="shared" si="29"/>
        <v>#VALUE!</v>
      </c>
      <c r="CY13" s="239" t="str">
        <f>IF(D13="","",IF(E13=Data!$ZI$2,VLOOKUP(D13,Data!$ZK$2:$ZP$15,6,FALSE),IF(E13=Data!$ZI$1,VLOOKUP(D13,Data!$ZQ$2:$ZV$13,6,FALSE),IF(E13=Data!$ZI$3,VLOOKUP(D13,Data!$ZW$2:$AAE$13,6,FALSE),IF(E13=Data!$ZI$4,VLOOKUP(D13,Data!$AAC$2:$AAL$13,6,FALSE),IF(E13=Data!$ZI$5,VLOOKUP(D13,Data!$AAC$26:$AAL$37,6,FALSE)))))))</f>
        <v/>
      </c>
      <c r="CZ13" s="251">
        <f t="shared" si="30"/>
        <v>0</v>
      </c>
      <c r="DA13" s="251" t="e">
        <f t="shared" si="31"/>
        <v>#VALUE!</v>
      </c>
      <c r="DB13" s="239" t="e">
        <f t="shared" si="32"/>
        <v>#VALUE!</v>
      </c>
      <c r="DC13" s="311">
        <f t="shared" si="33"/>
        <v>0</v>
      </c>
    </row>
    <row r="14" spans="1:107" ht="30" customHeight="1">
      <c r="A14" s="52">
        <v>7</v>
      </c>
      <c r="B14" s="20"/>
      <c r="C14" s="17"/>
      <c r="D14" s="19"/>
      <c r="E14" s="235"/>
      <c r="F14" s="235"/>
      <c r="G14" s="235"/>
      <c r="H14" s="235"/>
      <c r="I14" s="14"/>
      <c r="J14" s="14"/>
      <c r="K14" s="14"/>
      <c r="L14" s="14"/>
      <c r="M14" s="525"/>
      <c r="N14" s="526"/>
      <c r="O14" s="15"/>
      <c r="P14" s="15"/>
      <c r="Q14" s="15"/>
      <c r="R14" s="15"/>
      <c r="S14" s="15"/>
      <c r="T14" s="13" t="str">
        <f t="shared" si="9"/>
        <v/>
      </c>
      <c r="U14" s="253" t="str">
        <f t="shared" si="10"/>
        <v/>
      </c>
      <c r="V14" s="471"/>
      <c r="W14" s="482" t="b">
        <f t="shared" si="11"/>
        <v>0</v>
      </c>
      <c r="X14" s="230"/>
      <c r="Y14" s="253"/>
      <c r="AA14" s="33" t="str">
        <f>IF(SUM(--ISNUMBER(SEARCH({"Skylight"}, D14))),Data!$AJ$19,Data!$AJ$1)</f>
        <v>WindowType</v>
      </c>
      <c r="AB14" s="33" t="str">
        <f t="shared" si="0"/>
        <v>OK</v>
      </c>
      <c r="AC14" s="33" t="str">
        <f>IF(COUNTIF($K$8:$K$57,Data!KF9),Data!KG9,"")</f>
        <v/>
      </c>
      <c r="AE14" s="239" t="e">
        <f>MATCH(E14, Data!$TB$2:$TB$6,0)</f>
        <v>#N/A</v>
      </c>
      <c r="AF14" s="239" t="e">
        <f>MATCH(F14,Data!$TC$1:$UB$1,0)</f>
        <v>#N/A</v>
      </c>
      <c r="AG14" s="239" t="e">
        <f>INDEX(Data!$TC$2:$UB$6,'Cellular Blinds'!AE14,'Cellular Blinds'!AF14)</f>
        <v>#N/A</v>
      </c>
      <c r="AH14" s="33" t="e">
        <f>VLOOKUP(D14,Data!$RU$2:$RV$15,2,FALSE)</f>
        <v>#N/A</v>
      </c>
      <c r="AI14" s="33" t="b">
        <f>IF(D14=Data!$UT$2,Data!$UU$1,IF(D14=Data!$UT$3,Data!$UV$1,IF(D14=Data!$UT$4,Data!$UW$1,IF(D14=Data!$UT$5,Data!$UX$1,IF(D14=Data!$UT$6,Data!$UY$1,IF(D14=Data!$UT$7,Data!$UZ$1,IF(D14=Data!$UT$8,Data!$VA$1,IF(D14=Data!$UT$9,Data!$VB$1,IF(D14=Data!$UT$10,Data!$VC$1,IF(D14=Data!$UT$11,Data!$VD$1,IF(D14=Data!$UT$12,Data!$VD$22,IF(D14=Data!$UT$13,Data!$VD$22,IF(D14=Data!$UT$14,Data!$UU$13,IF(D14=Data!$UT$15,Data!$UV$13))))))))))))))</f>
        <v>0</v>
      </c>
      <c r="AJ14" s="239" t="e">
        <f>MATCH(D14,Data!$VL$27:$VL$40,0)</f>
        <v>#N/A</v>
      </c>
      <c r="AK14" s="239" t="e">
        <f>MATCH(E14,Data!$VM$26:$VQ$26,0)</f>
        <v>#N/A</v>
      </c>
      <c r="AL14" s="239" t="e">
        <f>INDEX(Data!$VM$27:$VQ$40,'Cellular Blinds'!AJ14,'Cellular Blinds'!AK14)</f>
        <v>#N/A</v>
      </c>
      <c r="AM14" s="239" t="e">
        <f>MATCH(D14, Data!$VL$2:$VL$16,0)</f>
        <v>#N/A</v>
      </c>
      <c r="AN14" s="239" t="e">
        <f>MATCH(E14,Data!$VM$1:$VQ$1,0)</f>
        <v>#N/A</v>
      </c>
      <c r="AO14" s="239" t="e">
        <f>INDEX(Data!$VM$2:$VQ$16,'Cellular Blinds'!AM14,'Cellular Blinds'!AN14)</f>
        <v>#N/A</v>
      </c>
      <c r="AP14" s="33" t="e">
        <f>VLOOKUP(P14,Data!$UW$14:$UX$28,2,FALSE)</f>
        <v>#N/A</v>
      </c>
      <c r="AQ14" s="239" t="e">
        <f>MATCH(E14, Data!$XS$2:$XS$6,0)</f>
        <v>#N/A</v>
      </c>
      <c r="AR14" s="239" t="e">
        <f>MATCH(F14,Data!$XT$1:$YR$1,0)</f>
        <v>#N/A</v>
      </c>
      <c r="AS14" s="239" t="e">
        <f>INDEX(Data!$XT$2:$YR$6,'Cellular Blinds'!AQ14,'Cellular Blinds'!AR14)</f>
        <v>#N/A</v>
      </c>
      <c r="AT14" s="239" t="b">
        <f>IF(D14=Data!$YU$2,Data!$YV$1,IF(D14=Data!$YU$3,Data!$YW$1,IF(D14=Data!$YU$4,Data!$YX$1,IF(D14=Data!$YU$5,Data!$YY$1,IF(D14=Data!$YU$6,Data!$YZ$1,IF(D14=Data!$YU$7,Data!$ZA$1,IF(D14=Data!$YU$8,Data!$ZB$1,IF(D14=Data!$YU$9,Data!$ZC$1,IF(D14=Data!$YU$10,Data!$ZD$1,IF(D14=Data!$YU$11,Data!$ZE$1,IF(D14=Data!$YU$12,Data!$ZE$1,IF(D14=Data!$YU$13,Data!$ZE$1,IF(D14=Data!$YU$14,Data!$ZG$11,IF(D14=Data!$YU$15,Data!$ZF$11))))))))))))))</f>
        <v>0</v>
      </c>
      <c r="AU14" s="239" t="str">
        <f>IF(D14="","",IF(E14=Data!$ZI$2,VLOOKUP(D14,Data!$ZK$2:$ZL$15,2,FALSE),IF(E14=Data!$ZI$1,VLOOKUP(D14,Data!$ZQ$2:$ZR$13,2,FALSE),IF(E14=Data!$ZI$3,VLOOKUP(D14,Data!$ZW$2:$ZX$13,2,FALSE),IF(E14=Data!$ZI$4,VLOOKUP(D14,Data!$AAC$2:$AAD$13,2,FALSE),IF(E14=Data!$ZI$5,VLOOKUP(D14,Data!$AAC$26:$AAD$37,2,FALSE)))))))</f>
        <v/>
      </c>
      <c r="AV14" s="251" t="str">
        <f t="shared" si="12"/>
        <v/>
      </c>
      <c r="AW14" s="251" t="str">
        <f t="shared" si="13"/>
        <v/>
      </c>
      <c r="AX14" s="239" t="str">
        <f t="shared" si="14"/>
        <v/>
      </c>
      <c r="BA14" s="33" t="str">
        <f t="shared" si="15"/>
        <v>FittingBoth</v>
      </c>
      <c r="BN14" s="476" t="str">
        <f t="shared" si="1"/>
        <v>UChannelNA</v>
      </c>
      <c r="BO14" s="476" t="e">
        <f t="shared" si="16"/>
        <v>#N/A</v>
      </c>
      <c r="BP14" s="476" t="str">
        <f t="shared" si="17"/>
        <v>No</v>
      </c>
      <c r="BQ14" s="476" t="str">
        <f t="shared" si="18"/>
        <v>No</v>
      </c>
      <c r="BR14" s="476" t="e">
        <f t="shared" si="2"/>
        <v>#N/A</v>
      </c>
      <c r="BS14" s="476" t="s">
        <v>1202</v>
      </c>
      <c r="BT14" s="476" t="s">
        <v>69</v>
      </c>
      <c r="BU14" s="172">
        <f t="shared" si="19"/>
        <v>2</v>
      </c>
      <c r="CB14" s="33" t="e">
        <f t="shared" si="3"/>
        <v>#N/A</v>
      </c>
      <c r="CC14" s="172" t="b">
        <f t="shared" si="4"/>
        <v>0</v>
      </c>
      <c r="CD14" s="172">
        <f t="shared" si="5"/>
        <v>0</v>
      </c>
      <c r="CE14" s="172">
        <f t="shared" si="6"/>
        <v>0</v>
      </c>
      <c r="CF14" s="172">
        <f t="shared" si="7"/>
        <v>0</v>
      </c>
      <c r="CG14" s="172">
        <f t="shared" si="8"/>
        <v>0</v>
      </c>
      <c r="CL14" s="239" t="str">
        <f>IF(D14="","",IF(E14=Data!$ZI$2,VLOOKUP(D14,Data!$ZK$2:$ZP$15,3,FALSE),IF(E14=Data!$ZI$1,VLOOKUP(D14,Data!$ZQ$2:$ZS$13,3,FALSE),IF(E14=Data!$ZI$3,VLOOKUP(D14,Data!$ZW$2:$AAB$13,3,FALSE),IF(E14=Data!$ZI$4,VLOOKUP(D14,Data!$AAC$2:$AAI$13,3,FALSE),IF(E14=Data!$ZI$5,VLOOKUP(D14,Data!$AAC$26:$AAI$37,3,FALSE)))))))</f>
        <v/>
      </c>
      <c r="CM14" s="251">
        <f t="shared" si="20"/>
        <v>0</v>
      </c>
      <c r="CN14" s="251" t="e">
        <f t="shared" si="21"/>
        <v>#VALUE!</v>
      </c>
      <c r="CO14" s="239" t="e">
        <f t="shared" si="22"/>
        <v>#VALUE!</v>
      </c>
      <c r="CP14" s="239" t="str">
        <f>IF(D14="","",IF(E14=Data!$ZI$2,VLOOKUP(D14,Data!$ZK$2:$ZN$15,4,FALSE),IF(E14=Data!$ZI$1,VLOOKUP(D14,Data!$ZQ$2:$ZT$13,4,FALSE),IF(E14=Data!$ZI$3,VLOOKUP(D14,Data!$ZW$2:$AAC$13,4,FALSE),IF(E14=Data!$ZI$4,VLOOKUP(D14,Data!$AAC$2:$AAJ$13,4,FALSE),IF(E14=Data!$ZI$5,VLOOKUP(D14,Data!$AAC$26:$AAJ$37,4,FALSE)))))))</f>
        <v/>
      </c>
      <c r="CQ14" s="251">
        <f t="shared" si="23"/>
        <v>0</v>
      </c>
      <c r="CR14" s="251" t="e">
        <f t="shared" si="24"/>
        <v>#VALUE!</v>
      </c>
      <c r="CS14" s="239" t="e">
        <f t="shared" si="25"/>
        <v>#VALUE!</v>
      </c>
      <c r="CT14" s="311">
        <f t="shared" si="26"/>
        <v>0</v>
      </c>
      <c r="CU14" s="239" t="str">
        <f>IF(D14="","",IF(E14=Data!$ZI$2,VLOOKUP(D14,Data!$ZK$2:$ZO$15,5,FALSE),IF(E14=Data!$ZI$1,VLOOKUP(D14,Data!$ZQ$2:$ZU$13,5,FALSE),IF(E14=Data!$ZI$3,VLOOKUP(D14,Data!$ZW$2:$AAD$13,5,FALSE),IF(E14=Data!$ZI$4,VLOOKUP(D14,Data!$AAC$2:$AAK$13,5,FALSE),IF(E14=Data!$ZI$5,VLOOKUP(D14,Data!$AAC$26:$AAK$37,5,FALSE)))))))</f>
        <v/>
      </c>
      <c r="CV14" s="251">
        <f t="shared" si="27"/>
        <v>0</v>
      </c>
      <c r="CW14" s="251" t="e">
        <f t="shared" si="28"/>
        <v>#VALUE!</v>
      </c>
      <c r="CX14" s="239" t="e">
        <f t="shared" si="29"/>
        <v>#VALUE!</v>
      </c>
      <c r="CY14" s="239" t="str">
        <f>IF(D14="","",IF(E14=Data!$ZI$2,VLOOKUP(D14,Data!$ZK$2:$ZP$15,6,FALSE),IF(E14=Data!$ZI$1,VLOOKUP(D14,Data!$ZQ$2:$ZV$13,6,FALSE),IF(E14=Data!$ZI$3,VLOOKUP(D14,Data!$ZW$2:$AAE$13,6,FALSE),IF(E14=Data!$ZI$4,VLOOKUP(D14,Data!$AAC$2:$AAL$13,6,FALSE),IF(E14=Data!$ZI$5,VLOOKUP(D14,Data!$AAC$26:$AAL$37,6,FALSE)))))))</f>
        <v/>
      </c>
      <c r="CZ14" s="251">
        <f t="shared" si="30"/>
        <v>0</v>
      </c>
      <c r="DA14" s="251" t="e">
        <f t="shared" si="31"/>
        <v>#VALUE!</v>
      </c>
      <c r="DB14" s="239" t="e">
        <f t="shared" si="32"/>
        <v>#VALUE!</v>
      </c>
      <c r="DC14" s="311">
        <f t="shared" si="33"/>
        <v>0</v>
      </c>
    </row>
    <row r="15" spans="1:107" ht="30" customHeight="1">
      <c r="A15" s="52">
        <v>8</v>
      </c>
      <c r="B15" s="20"/>
      <c r="C15" s="17"/>
      <c r="D15" s="13"/>
      <c r="E15" s="235"/>
      <c r="F15" s="235"/>
      <c r="G15" s="235"/>
      <c r="H15" s="235"/>
      <c r="I15" s="14"/>
      <c r="J15" s="14"/>
      <c r="K15" s="14"/>
      <c r="L15" s="14"/>
      <c r="M15" s="525"/>
      <c r="N15" s="526"/>
      <c r="O15" s="15"/>
      <c r="P15" s="15"/>
      <c r="Q15" s="15"/>
      <c r="R15" s="15"/>
      <c r="S15" s="15"/>
      <c r="T15" s="13" t="str">
        <f t="shared" si="9"/>
        <v/>
      </c>
      <c r="U15" s="253" t="str">
        <f t="shared" si="10"/>
        <v/>
      </c>
      <c r="V15" s="471"/>
      <c r="W15" s="482" t="b">
        <f t="shared" si="11"/>
        <v>0</v>
      </c>
      <c r="X15" s="230"/>
      <c r="Y15" s="253"/>
      <c r="AA15" s="33" t="str">
        <f>IF(SUM(--ISNUMBER(SEARCH({"Skylight"}, D15))),Data!$AJ$19,Data!$AJ$1)</f>
        <v>WindowType</v>
      </c>
      <c r="AB15" s="33" t="str">
        <f t="shared" si="0"/>
        <v>OK</v>
      </c>
      <c r="AC15" s="33" t="str">
        <f>IF(COUNTIF(AC8:AC14,Data!KG6),Data!KH6,"")</f>
        <v/>
      </c>
      <c r="AE15" s="239" t="e">
        <f>MATCH(E15, Data!$TB$2:$TB$6,0)</f>
        <v>#N/A</v>
      </c>
      <c r="AF15" s="239" t="e">
        <f>MATCH(F15,Data!$TC$1:$UB$1,0)</f>
        <v>#N/A</v>
      </c>
      <c r="AG15" s="239" t="e">
        <f>INDEX(Data!$TC$2:$UB$6,'Cellular Blinds'!AE15,'Cellular Blinds'!AF15)</f>
        <v>#N/A</v>
      </c>
      <c r="AH15" s="33" t="e">
        <f>VLOOKUP(D15,Data!$RU$2:$RV$15,2,FALSE)</f>
        <v>#N/A</v>
      </c>
      <c r="AI15" s="33" t="b">
        <f>IF(D15=Data!$UT$2,Data!$UU$1,IF(D15=Data!$UT$3,Data!$UV$1,IF(D15=Data!$UT$4,Data!$UW$1,IF(D15=Data!$UT$5,Data!$UX$1,IF(D15=Data!$UT$6,Data!$UY$1,IF(D15=Data!$UT$7,Data!$UZ$1,IF(D15=Data!$UT$8,Data!$VA$1,IF(D15=Data!$UT$9,Data!$VB$1,IF(D15=Data!$UT$10,Data!$VC$1,IF(D15=Data!$UT$11,Data!$VD$1,IF(D15=Data!$UT$12,Data!$VD$22,IF(D15=Data!$UT$13,Data!$VD$22,IF(D15=Data!$UT$14,Data!$UU$13,IF(D15=Data!$UT$15,Data!$UV$13))))))))))))))</f>
        <v>0</v>
      </c>
      <c r="AJ15" s="239" t="e">
        <f>MATCH(D15,Data!$VL$27:$VL$40,0)</f>
        <v>#N/A</v>
      </c>
      <c r="AK15" s="239" t="e">
        <f>MATCH(E15,Data!$VM$26:$VQ$26,0)</f>
        <v>#N/A</v>
      </c>
      <c r="AL15" s="239" t="e">
        <f>INDEX(Data!$VM$27:$VQ$40,'Cellular Blinds'!AJ15,'Cellular Blinds'!AK15)</f>
        <v>#N/A</v>
      </c>
      <c r="AM15" s="239" t="e">
        <f>MATCH(D15, Data!$VL$2:$VL$16,0)</f>
        <v>#N/A</v>
      </c>
      <c r="AN15" s="239" t="e">
        <f>MATCH(E15,Data!$VM$1:$VQ$1,0)</f>
        <v>#N/A</v>
      </c>
      <c r="AO15" s="239" t="e">
        <f>INDEX(Data!$VM$2:$VQ$16,'Cellular Blinds'!AM15,'Cellular Blinds'!AN15)</f>
        <v>#N/A</v>
      </c>
      <c r="AP15" s="33" t="e">
        <f>VLOOKUP(P15,Data!$UW$14:$UX$28,2,FALSE)</f>
        <v>#N/A</v>
      </c>
      <c r="AQ15" s="239" t="e">
        <f>MATCH(E15, Data!$XS$2:$XS$6,0)</f>
        <v>#N/A</v>
      </c>
      <c r="AR15" s="239" t="e">
        <f>MATCH(F15,Data!$XT$1:$YR$1,0)</f>
        <v>#N/A</v>
      </c>
      <c r="AS15" s="239" t="e">
        <f>INDEX(Data!$XT$2:$YR$6,'Cellular Blinds'!AQ15,'Cellular Blinds'!AR15)</f>
        <v>#N/A</v>
      </c>
      <c r="AT15" s="239" t="b">
        <f>IF(D15=Data!$YU$2,Data!$YV$1,IF(D15=Data!$YU$3,Data!$YW$1,IF(D15=Data!$YU$4,Data!$YX$1,IF(D15=Data!$YU$5,Data!$YY$1,IF(D15=Data!$YU$6,Data!$YZ$1,IF(D15=Data!$YU$7,Data!$ZA$1,IF(D15=Data!$YU$8,Data!$ZB$1,IF(D15=Data!$YU$9,Data!$ZC$1,IF(D15=Data!$YU$10,Data!$ZD$1,IF(D15=Data!$YU$11,Data!$ZE$1,IF(D15=Data!$YU$12,Data!$ZE$1,IF(D15=Data!$YU$13,Data!$ZE$1,IF(D15=Data!$YU$14,Data!$ZG$11,IF(D15=Data!$YU$15,Data!$ZF$11))))))))))))))</f>
        <v>0</v>
      </c>
      <c r="AU15" s="239" t="str">
        <f>IF(D15="","",IF(E15=Data!$ZI$2,VLOOKUP(D15,Data!$ZK$2:$ZL$15,2,FALSE),IF(E15=Data!$ZI$1,VLOOKUP(D15,Data!$ZQ$2:$ZR$13,2,FALSE),IF(E15=Data!$ZI$3,VLOOKUP(D15,Data!$ZW$2:$ZX$13,2,FALSE),IF(E15=Data!$ZI$4,VLOOKUP(D15,Data!$AAC$2:$AAD$13,2,FALSE),IF(E15=Data!$ZI$5,VLOOKUP(D15,Data!$AAC$26:$AAD$37,2,FALSE)))))))</f>
        <v/>
      </c>
      <c r="AV15" s="251" t="str">
        <f t="shared" si="12"/>
        <v/>
      </c>
      <c r="AW15" s="251" t="str">
        <f t="shared" si="13"/>
        <v/>
      </c>
      <c r="AX15" s="239" t="str">
        <f t="shared" si="14"/>
        <v/>
      </c>
      <c r="BA15" s="33" t="str">
        <f t="shared" si="15"/>
        <v>FittingBoth</v>
      </c>
      <c r="BN15" s="476" t="str">
        <f t="shared" si="1"/>
        <v>UChannelNA</v>
      </c>
      <c r="BO15" s="476" t="e">
        <f t="shared" si="16"/>
        <v>#N/A</v>
      </c>
      <c r="BP15" s="476" t="str">
        <f t="shared" si="17"/>
        <v>No</v>
      </c>
      <c r="BQ15" s="476" t="str">
        <f t="shared" si="18"/>
        <v>No</v>
      </c>
      <c r="BR15" s="476" t="e">
        <f t="shared" si="2"/>
        <v>#N/A</v>
      </c>
      <c r="BS15" s="476" t="s">
        <v>1214</v>
      </c>
      <c r="BT15" s="476" t="s">
        <v>69</v>
      </c>
      <c r="BU15" s="172">
        <f t="shared" si="19"/>
        <v>2</v>
      </c>
      <c r="CB15" s="33" t="e">
        <f t="shared" si="3"/>
        <v>#N/A</v>
      </c>
      <c r="CC15" s="172" t="b">
        <f t="shared" si="4"/>
        <v>0</v>
      </c>
      <c r="CD15" s="172">
        <f t="shared" si="5"/>
        <v>0</v>
      </c>
      <c r="CE15" s="172">
        <f t="shared" si="6"/>
        <v>0</v>
      </c>
      <c r="CF15" s="172">
        <f t="shared" si="7"/>
        <v>0</v>
      </c>
      <c r="CG15" s="172">
        <f t="shared" si="8"/>
        <v>0</v>
      </c>
      <c r="CL15" s="239" t="str">
        <f>IF(D15="","",IF(E15=Data!$ZI$2,VLOOKUP(D15,Data!$ZK$2:$ZP$15,3,FALSE),IF(E15=Data!$ZI$1,VLOOKUP(D15,Data!$ZQ$2:$ZS$13,3,FALSE),IF(E15=Data!$ZI$3,VLOOKUP(D15,Data!$ZW$2:$AAB$13,3,FALSE),IF(E15=Data!$ZI$4,VLOOKUP(D15,Data!$AAC$2:$AAI$13,3,FALSE),IF(E15=Data!$ZI$5,VLOOKUP(D15,Data!$AAC$26:$AAI$37,3,FALSE)))))))</f>
        <v/>
      </c>
      <c r="CM15" s="251">
        <f t="shared" si="20"/>
        <v>0</v>
      </c>
      <c r="CN15" s="251" t="e">
        <f t="shared" si="21"/>
        <v>#VALUE!</v>
      </c>
      <c r="CO15" s="239" t="e">
        <f t="shared" si="22"/>
        <v>#VALUE!</v>
      </c>
      <c r="CP15" s="239" t="str">
        <f>IF(D15="","",IF(E15=Data!$ZI$2,VLOOKUP(D15,Data!$ZK$2:$ZN$15,4,FALSE),IF(E15=Data!$ZI$1,VLOOKUP(D15,Data!$ZQ$2:$ZT$13,4,FALSE),IF(E15=Data!$ZI$3,VLOOKUP(D15,Data!$ZW$2:$AAC$13,4,FALSE),IF(E15=Data!$ZI$4,VLOOKUP(D15,Data!$AAC$2:$AAJ$13,4,FALSE),IF(E15=Data!$ZI$5,VLOOKUP(D15,Data!$AAC$26:$AAJ$37,4,FALSE)))))))</f>
        <v/>
      </c>
      <c r="CQ15" s="251">
        <f t="shared" si="23"/>
        <v>0</v>
      </c>
      <c r="CR15" s="251" t="e">
        <f t="shared" si="24"/>
        <v>#VALUE!</v>
      </c>
      <c r="CS15" s="239" t="e">
        <f t="shared" si="25"/>
        <v>#VALUE!</v>
      </c>
      <c r="CT15" s="311">
        <f t="shared" si="26"/>
        <v>0</v>
      </c>
      <c r="CU15" s="239" t="str">
        <f>IF(D15="","",IF(E15=Data!$ZI$2,VLOOKUP(D15,Data!$ZK$2:$ZO$15,5,FALSE),IF(E15=Data!$ZI$1,VLOOKUP(D15,Data!$ZQ$2:$ZU$13,5,FALSE),IF(E15=Data!$ZI$3,VLOOKUP(D15,Data!$ZW$2:$AAD$13,5,FALSE),IF(E15=Data!$ZI$4,VLOOKUP(D15,Data!$AAC$2:$AAK$13,5,FALSE),IF(E15=Data!$ZI$5,VLOOKUP(D15,Data!$AAC$26:$AAK$37,5,FALSE)))))))</f>
        <v/>
      </c>
      <c r="CV15" s="251">
        <f t="shared" si="27"/>
        <v>0</v>
      </c>
      <c r="CW15" s="251" t="e">
        <f t="shared" si="28"/>
        <v>#VALUE!</v>
      </c>
      <c r="CX15" s="239" t="e">
        <f t="shared" si="29"/>
        <v>#VALUE!</v>
      </c>
      <c r="CY15" s="239" t="str">
        <f>IF(D15="","",IF(E15=Data!$ZI$2,VLOOKUP(D15,Data!$ZK$2:$ZP$15,6,FALSE),IF(E15=Data!$ZI$1,VLOOKUP(D15,Data!$ZQ$2:$ZV$13,6,FALSE),IF(E15=Data!$ZI$3,VLOOKUP(D15,Data!$ZW$2:$AAE$13,6,FALSE),IF(E15=Data!$ZI$4,VLOOKUP(D15,Data!$AAC$2:$AAL$13,6,FALSE),IF(E15=Data!$ZI$5,VLOOKUP(D15,Data!$AAC$26:$AAL$37,6,FALSE)))))))</f>
        <v/>
      </c>
      <c r="CZ15" s="251">
        <f t="shared" si="30"/>
        <v>0</v>
      </c>
      <c r="DA15" s="251" t="e">
        <f t="shared" si="31"/>
        <v>#VALUE!</v>
      </c>
      <c r="DB15" s="239" t="e">
        <f t="shared" si="32"/>
        <v>#VALUE!</v>
      </c>
      <c r="DC15" s="311">
        <f t="shared" si="33"/>
        <v>0</v>
      </c>
    </row>
    <row r="16" spans="1:107" ht="30" customHeight="1">
      <c r="A16" s="52">
        <v>9</v>
      </c>
      <c r="B16" s="17"/>
      <c r="C16" s="17"/>
      <c r="D16" s="13"/>
      <c r="E16" s="235"/>
      <c r="F16" s="235"/>
      <c r="G16" s="235"/>
      <c r="H16" s="235"/>
      <c r="I16" s="14"/>
      <c r="J16" s="14"/>
      <c r="K16" s="14"/>
      <c r="L16" s="14"/>
      <c r="M16" s="525"/>
      <c r="N16" s="526"/>
      <c r="O16" s="15"/>
      <c r="P16" s="15"/>
      <c r="Q16" s="15"/>
      <c r="R16" s="15"/>
      <c r="S16" s="15"/>
      <c r="T16" s="13" t="str">
        <f t="shared" si="9"/>
        <v/>
      </c>
      <c r="U16" s="253" t="str">
        <f t="shared" si="10"/>
        <v/>
      </c>
      <c r="V16" s="471"/>
      <c r="W16" s="482" t="b">
        <f t="shared" si="11"/>
        <v>0</v>
      </c>
      <c r="X16" s="230"/>
      <c r="Y16" s="253"/>
      <c r="AA16" s="33" t="str">
        <f>IF(SUM(--ISNUMBER(SEARCH({"Skylight"}, D16))),Data!$AJ$19,Data!$AJ$1)</f>
        <v>WindowType</v>
      </c>
      <c r="AB16" s="33" t="str">
        <f t="shared" si="0"/>
        <v>OK</v>
      </c>
      <c r="AC16" s="33" t="str">
        <f>IF(COUNTIF(AC8:AC14,Data!KG7),Data!KH7,"")</f>
        <v/>
      </c>
      <c r="AE16" s="239" t="e">
        <f>MATCH(E16, Data!$TB$2:$TB$6,0)</f>
        <v>#N/A</v>
      </c>
      <c r="AF16" s="239" t="e">
        <f>MATCH(F16,Data!$TC$1:$UB$1,0)</f>
        <v>#N/A</v>
      </c>
      <c r="AG16" s="239" t="e">
        <f>INDEX(Data!$TC$2:$UB$6,'Cellular Blinds'!AE16,'Cellular Blinds'!AF16)</f>
        <v>#N/A</v>
      </c>
      <c r="AH16" s="33" t="e">
        <f>VLOOKUP(D16,Data!$RU$2:$RV$15,2,FALSE)</f>
        <v>#N/A</v>
      </c>
      <c r="AI16" s="33" t="b">
        <f>IF(D16=Data!$UT$2,Data!$UU$1,IF(D16=Data!$UT$3,Data!$UV$1,IF(D16=Data!$UT$4,Data!$UW$1,IF(D16=Data!$UT$5,Data!$UX$1,IF(D16=Data!$UT$6,Data!$UY$1,IF(D16=Data!$UT$7,Data!$UZ$1,IF(D16=Data!$UT$8,Data!$VA$1,IF(D16=Data!$UT$9,Data!$VB$1,IF(D16=Data!$UT$10,Data!$VC$1,IF(D16=Data!$UT$11,Data!$VD$1,IF(D16=Data!$UT$12,Data!$VD$22,IF(D16=Data!$UT$13,Data!$VD$22,IF(D16=Data!$UT$14,Data!$UU$13,IF(D16=Data!$UT$15,Data!$UV$13))))))))))))))</f>
        <v>0</v>
      </c>
      <c r="AJ16" s="239" t="e">
        <f>MATCH(D16,Data!$VL$27:$VL$40,0)</f>
        <v>#N/A</v>
      </c>
      <c r="AK16" s="239" t="e">
        <f>MATCH(E16,Data!$VM$26:$VQ$26,0)</f>
        <v>#N/A</v>
      </c>
      <c r="AL16" s="239" t="e">
        <f>INDEX(Data!$VM$27:$VQ$40,'Cellular Blinds'!AJ16,'Cellular Blinds'!AK16)</f>
        <v>#N/A</v>
      </c>
      <c r="AM16" s="239" t="e">
        <f>MATCH(D16, Data!$VL$2:$VL$16,0)</f>
        <v>#N/A</v>
      </c>
      <c r="AN16" s="239" t="e">
        <f>MATCH(E16,Data!$VM$1:$VQ$1,0)</f>
        <v>#N/A</v>
      </c>
      <c r="AO16" s="239" t="e">
        <f>INDEX(Data!$VM$2:$VQ$16,'Cellular Blinds'!AM16,'Cellular Blinds'!AN16)</f>
        <v>#N/A</v>
      </c>
      <c r="AP16" s="33" t="e">
        <f>VLOOKUP(P16,Data!$UW$14:$UX$28,2,FALSE)</f>
        <v>#N/A</v>
      </c>
      <c r="AQ16" s="239" t="e">
        <f>MATCH(E16, Data!$XS$2:$XS$6,0)</f>
        <v>#N/A</v>
      </c>
      <c r="AR16" s="239" t="e">
        <f>MATCH(F16,Data!$XT$1:$YR$1,0)</f>
        <v>#N/A</v>
      </c>
      <c r="AS16" s="239" t="e">
        <f>INDEX(Data!$XT$2:$YR$6,'Cellular Blinds'!AQ16,'Cellular Blinds'!AR16)</f>
        <v>#N/A</v>
      </c>
      <c r="AT16" s="239" t="b">
        <f>IF(D16=Data!$YU$2,Data!$YV$1,IF(D16=Data!$YU$3,Data!$YW$1,IF(D16=Data!$YU$4,Data!$YX$1,IF(D16=Data!$YU$5,Data!$YY$1,IF(D16=Data!$YU$6,Data!$YZ$1,IF(D16=Data!$YU$7,Data!$ZA$1,IF(D16=Data!$YU$8,Data!$ZB$1,IF(D16=Data!$YU$9,Data!$ZC$1,IF(D16=Data!$YU$10,Data!$ZD$1,IF(D16=Data!$YU$11,Data!$ZE$1,IF(D16=Data!$YU$12,Data!$ZE$1,IF(D16=Data!$YU$13,Data!$ZE$1,IF(D16=Data!$YU$14,Data!$ZG$11,IF(D16=Data!$YU$15,Data!$ZF$11))))))))))))))</f>
        <v>0</v>
      </c>
      <c r="AU16" s="239" t="str">
        <f>IF(D16="","",IF(E16=Data!$ZI$2,VLOOKUP(D16,Data!$ZK$2:$ZL$15,2,FALSE),IF(E16=Data!$ZI$1,VLOOKUP(D16,Data!$ZQ$2:$ZR$13,2,FALSE),IF(E16=Data!$ZI$3,VLOOKUP(D16,Data!$ZW$2:$ZX$13,2,FALSE),IF(E16=Data!$ZI$4,VLOOKUP(D16,Data!$AAC$2:$AAD$13,2,FALSE),IF(E16=Data!$ZI$5,VLOOKUP(D16,Data!$AAC$26:$AAD$37,2,FALSE)))))))</f>
        <v/>
      </c>
      <c r="AV16" s="251" t="str">
        <f t="shared" si="12"/>
        <v/>
      </c>
      <c r="AW16" s="251" t="str">
        <f t="shared" si="13"/>
        <v/>
      </c>
      <c r="AX16" s="239" t="str">
        <f t="shared" si="14"/>
        <v/>
      </c>
      <c r="BA16" s="33" t="str">
        <f t="shared" si="15"/>
        <v>FittingBoth</v>
      </c>
      <c r="BN16" s="476" t="str">
        <f t="shared" si="1"/>
        <v>UChannelNA</v>
      </c>
      <c r="BO16" s="476" t="e">
        <f t="shared" si="16"/>
        <v>#N/A</v>
      </c>
      <c r="BP16" s="476" t="str">
        <f t="shared" si="17"/>
        <v>No</v>
      </c>
      <c r="BQ16" s="476" t="str">
        <f t="shared" si="18"/>
        <v>No</v>
      </c>
      <c r="BR16" s="476" t="e">
        <f t="shared" si="2"/>
        <v>#N/A</v>
      </c>
      <c r="BS16" s="476" t="s">
        <v>1182</v>
      </c>
      <c r="BT16" s="476" t="s">
        <v>69</v>
      </c>
      <c r="BU16" s="172">
        <f t="shared" si="19"/>
        <v>2</v>
      </c>
      <c r="CB16" s="33" t="e">
        <f t="shared" si="3"/>
        <v>#N/A</v>
      </c>
      <c r="CC16" s="172" t="b">
        <f t="shared" si="4"/>
        <v>0</v>
      </c>
      <c r="CD16" s="172">
        <f t="shared" si="5"/>
        <v>0</v>
      </c>
      <c r="CE16" s="172">
        <f t="shared" si="6"/>
        <v>0</v>
      </c>
      <c r="CF16" s="172">
        <f t="shared" si="7"/>
        <v>0</v>
      </c>
      <c r="CG16" s="172">
        <f t="shared" si="8"/>
        <v>0</v>
      </c>
      <c r="CL16" s="239" t="str">
        <f>IF(D16="","",IF(E16=Data!$ZI$2,VLOOKUP(D16,Data!$ZK$2:$ZP$15,3,FALSE),IF(E16=Data!$ZI$1,VLOOKUP(D16,Data!$ZQ$2:$ZS$13,3,FALSE),IF(E16=Data!$ZI$3,VLOOKUP(D16,Data!$ZW$2:$AAB$13,3,FALSE),IF(E16=Data!$ZI$4,VLOOKUP(D16,Data!$AAC$2:$AAI$13,3,FALSE),IF(E16=Data!$ZI$5,VLOOKUP(D16,Data!$AAC$26:$AAI$37,3,FALSE)))))))</f>
        <v/>
      </c>
      <c r="CM16" s="251">
        <f t="shared" si="20"/>
        <v>0</v>
      </c>
      <c r="CN16" s="251" t="e">
        <f t="shared" si="21"/>
        <v>#VALUE!</v>
      </c>
      <c r="CO16" s="239" t="e">
        <f t="shared" si="22"/>
        <v>#VALUE!</v>
      </c>
      <c r="CP16" s="239" t="str">
        <f>IF(D16="","",IF(E16=Data!$ZI$2,VLOOKUP(D16,Data!$ZK$2:$ZN$15,4,FALSE),IF(E16=Data!$ZI$1,VLOOKUP(D16,Data!$ZQ$2:$ZT$13,4,FALSE),IF(E16=Data!$ZI$3,VLOOKUP(D16,Data!$ZW$2:$AAC$13,4,FALSE),IF(E16=Data!$ZI$4,VLOOKUP(D16,Data!$AAC$2:$AAJ$13,4,FALSE),IF(E16=Data!$ZI$5,VLOOKUP(D16,Data!$AAC$26:$AAJ$37,4,FALSE)))))))</f>
        <v/>
      </c>
      <c r="CQ16" s="251">
        <f t="shared" si="23"/>
        <v>0</v>
      </c>
      <c r="CR16" s="251" t="e">
        <f t="shared" si="24"/>
        <v>#VALUE!</v>
      </c>
      <c r="CS16" s="239" t="e">
        <f t="shared" si="25"/>
        <v>#VALUE!</v>
      </c>
      <c r="CT16" s="311">
        <f t="shared" si="26"/>
        <v>0</v>
      </c>
      <c r="CU16" s="239" t="str">
        <f>IF(D16="","",IF(E16=Data!$ZI$2,VLOOKUP(D16,Data!$ZK$2:$ZO$15,5,FALSE),IF(E16=Data!$ZI$1,VLOOKUP(D16,Data!$ZQ$2:$ZU$13,5,FALSE),IF(E16=Data!$ZI$3,VLOOKUP(D16,Data!$ZW$2:$AAD$13,5,FALSE),IF(E16=Data!$ZI$4,VLOOKUP(D16,Data!$AAC$2:$AAK$13,5,FALSE),IF(E16=Data!$ZI$5,VLOOKUP(D16,Data!$AAC$26:$AAK$37,5,FALSE)))))))</f>
        <v/>
      </c>
      <c r="CV16" s="251">
        <f t="shared" si="27"/>
        <v>0</v>
      </c>
      <c r="CW16" s="251" t="e">
        <f t="shared" si="28"/>
        <v>#VALUE!</v>
      </c>
      <c r="CX16" s="239" t="e">
        <f t="shared" si="29"/>
        <v>#VALUE!</v>
      </c>
      <c r="CY16" s="239" t="str">
        <f>IF(D16="","",IF(E16=Data!$ZI$2,VLOOKUP(D16,Data!$ZK$2:$ZP$15,6,FALSE),IF(E16=Data!$ZI$1,VLOOKUP(D16,Data!$ZQ$2:$ZV$13,6,FALSE),IF(E16=Data!$ZI$3,VLOOKUP(D16,Data!$ZW$2:$AAE$13,6,FALSE),IF(E16=Data!$ZI$4,VLOOKUP(D16,Data!$AAC$2:$AAL$13,6,FALSE),IF(E16=Data!$ZI$5,VLOOKUP(D16,Data!$AAC$26:$AAL$37,6,FALSE)))))))</f>
        <v/>
      </c>
      <c r="CZ16" s="251">
        <f t="shared" si="30"/>
        <v>0</v>
      </c>
      <c r="DA16" s="251" t="e">
        <f t="shared" si="31"/>
        <v>#VALUE!</v>
      </c>
      <c r="DB16" s="239" t="e">
        <f t="shared" si="32"/>
        <v>#VALUE!</v>
      </c>
      <c r="DC16" s="311">
        <f t="shared" si="33"/>
        <v>0</v>
      </c>
    </row>
    <row r="17" spans="1:107" ht="30" customHeight="1">
      <c r="A17" s="52">
        <v>10</v>
      </c>
      <c r="B17" s="17"/>
      <c r="C17" s="17"/>
      <c r="D17" s="13"/>
      <c r="E17" s="235"/>
      <c r="F17" s="235"/>
      <c r="G17" s="235"/>
      <c r="H17" s="235"/>
      <c r="I17" s="14"/>
      <c r="J17" s="14"/>
      <c r="K17" s="14"/>
      <c r="L17" s="14"/>
      <c r="M17" s="525"/>
      <c r="N17" s="526"/>
      <c r="O17" s="15"/>
      <c r="P17" s="15"/>
      <c r="Q17" s="15"/>
      <c r="R17" s="15"/>
      <c r="S17" s="15"/>
      <c r="T17" s="13" t="str">
        <f t="shared" si="9"/>
        <v/>
      </c>
      <c r="U17" s="253" t="str">
        <f t="shared" si="10"/>
        <v/>
      </c>
      <c r="V17" s="471"/>
      <c r="W17" s="482" t="b">
        <f t="shared" si="11"/>
        <v>0</v>
      </c>
      <c r="X17" s="230"/>
      <c r="Y17" s="253"/>
      <c r="AA17" s="33" t="str">
        <f>IF(SUM(--ISNUMBER(SEARCH({"Skylight"}, D17))),Data!$AJ$19,Data!$AJ$1)</f>
        <v>WindowType</v>
      </c>
      <c r="AB17" s="33" t="str">
        <f t="shared" si="0"/>
        <v>OK</v>
      </c>
      <c r="AC17" s="33" t="str">
        <f>AC15&amp;" &amp; "&amp;AC16&amp;""</f>
        <v xml:space="preserve"> &amp; </v>
      </c>
      <c r="AE17" s="239" t="e">
        <f>MATCH(E17, Data!$TB$2:$TB$6,0)</f>
        <v>#N/A</v>
      </c>
      <c r="AF17" s="239" t="e">
        <f>MATCH(F17,Data!$TC$1:$UB$1,0)</f>
        <v>#N/A</v>
      </c>
      <c r="AG17" s="239" t="e">
        <f>INDEX(Data!$TC$2:$UB$6,'Cellular Blinds'!AE17,'Cellular Blinds'!AF17)</f>
        <v>#N/A</v>
      </c>
      <c r="AH17" s="33" t="e">
        <f>VLOOKUP(D17,Data!$RU$2:$RV$15,2,FALSE)</f>
        <v>#N/A</v>
      </c>
      <c r="AI17" s="33" t="b">
        <f>IF(D17=Data!$UT$2,Data!$UU$1,IF(D17=Data!$UT$3,Data!$UV$1,IF(D17=Data!$UT$4,Data!$UW$1,IF(D17=Data!$UT$5,Data!$UX$1,IF(D17=Data!$UT$6,Data!$UY$1,IF(D17=Data!$UT$7,Data!$UZ$1,IF(D17=Data!$UT$8,Data!$VA$1,IF(D17=Data!$UT$9,Data!$VB$1,IF(D17=Data!$UT$10,Data!$VC$1,IF(D17=Data!$UT$11,Data!$VD$1,IF(D17=Data!$UT$12,Data!$VD$22,IF(D17=Data!$UT$13,Data!$VD$22,IF(D17=Data!$UT$14,Data!$UU$13,IF(D17=Data!$UT$15,Data!$UV$13))))))))))))))</f>
        <v>0</v>
      </c>
      <c r="AJ17" s="239" t="e">
        <f>MATCH(D17,Data!$VL$27:$VL$40,0)</f>
        <v>#N/A</v>
      </c>
      <c r="AK17" s="239" t="e">
        <f>MATCH(E17,Data!$VM$26:$VQ$26,0)</f>
        <v>#N/A</v>
      </c>
      <c r="AL17" s="239" t="e">
        <f>INDEX(Data!$VM$27:$VQ$40,'Cellular Blinds'!AJ17,'Cellular Blinds'!AK17)</f>
        <v>#N/A</v>
      </c>
      <c r="AM17" s="239" t="e">
        <f>MATCH(D17, Data!$VL$2:$VL$16,0)</f>
        <v>#N/A</v>
      </c>
      <c r="AN17" s="239" t="e">
        <f>MATCH(E17,Data!$VM$1:$VQ$1,0)</f>
        <v>#N/A</v>
      </c>
      <c r="AO17" s="239" t="e">
        <f>INDEX(Data!$VM$2:$VQ$16,'Cellular Blinds'!AM17,'Cellular Blinds'!AN17)</f>
        <v>#N/A</v>
      </c>
      <c r="AP17" s="33" t="e">
        <f>VLOOKUP(P17,Data!$UW$14:$UX$28,2,FALSE)</f>
        <v>#N/A</v>
      </c>
      <c r="AQ17" s="239" t="e">
        <f>MATCH(E17, Data!$XS$2:$XS$6,0)</f>
        <v>#N/A</v>
      </c>
      <c r="AR17" s="239" t="e">
        <f>MATCH(F17,Data!$XT$1:$YR$1,0)</f>
        <v>#N/A</v>
      </c>
      <c r="AS17" s="239" t="e">
        <f>INDEX(Data!$XT$2:$YR$6,'Cellular Blinds'!AQ17,'Cellular Blinds'!AR17)</f>
        <v>#N/A</v>
      </c>
      <c r="AT17" s="239" t="b">
        <f>IF(D17=Data!$YU$2,Data!$YV$1,IF(D17=Data!$YU$3,Data!$YW$1,IF(D17=Data!$YU$4,Data!$YX$1,IF(D17=Data!$YU$5,Data!$YY$1,IF(D17=Data!$YU$6,Data!$YZ$1,IF(D17=Data!$YU$7,Data!$ZA$1,IF(D17=Data!$YU$8,Data!$ZB$1,IF(D17=Data!$YU$9,Data!$ZC$1,IF(D17=Data!$YU$10,Data!$ZD$1,IF(D17=Data!$YU$11,Data!$ZE$1,IF(D17=Data!$YU$12,Data!$ZE$1,IF(D17=Data!$YU$13,Data!$ZE$1,IF(D17=Data!$YU$14,Data!$ZG$11,IF(D17=Data!$YU$15,Data!$ZF$11))))))))))))))</f>
        <v>0</v>
      </c>
      <c r="AU17" s="239" t="str">
        <f>IF(D17="","",IF(E17=Data!$ZI$2,VLOOKUP(D17,Data!$ZK$2:$ZL$15,2,FALSE),IF(E17=Data!$ZI$1,VLOOKUP(D17,Data!$ZQ$2:$ZR$13,2,FALSE),IF(E17=Data!$ZI$3,VLOOKUP(D17,Data!$ZW$2:$ZX$13,2,FALSE),IF(E17=Data!$ZI$4,VLOOKUP(D17,Data!$AAC$2:$AAD$13,2,FALSE),IF(E17=Data!$ZI$5,VLOOKUP(D17,Data!$AAC$26:$AAD$37,2,FALSE)))))))</f>
        <v/>
      </c>
      <c r="AV17" s="251" t="str">
        <f t="shared" si="12"/>
        <v/>
      </c>
      <c r="AW17" s="251" t="str">
        <f t="shared" si="13"/>
        <v/>
      </c>
      <c r="AX17" s="239" t="str">
        <f t="shared" si="14"/>
        <v/>
      </c>
      <c r="BA17" s="33" t="str">
        <f t="shared" si="15"/>
        <v>FittingBoth</v>
      </c>
      <c r="BN17" s="476" t="str">
        <f t="shared" si="1"/>
        <v>UChannelNA</v>
      </c>
      <c r="BO17" s="476" t="e">
        <f t="shared" si="16"/>
        <v>#N/A</v>
      </c>
      <c r="BP17" s="476" t="str">
        <f t="shared" si="17"/>
        <v>No</v>
      </c>
      <c r="BQ17" s="476" t="str">
        <f t="shared" si="18"/>
        <v>No</v>
      </c>
      <c r="BR17" s="476" t="e">
        <f t="shared" si="2"/>
        <v>#N/A</v>
      </c>
      <c r="BS17" s="476" t="s">
        <v>2035</v>
      </c>
      <c r="BT17" s="476" t="s">
        <v>69</v>
      </c>
      <c r="BU17" s="172">
        <f t="shared" si="19"/>
        <v>2</v>
      </c>
      <c r="CB17" s="33" t="e">
        <f t="shared" si="3"/>
        <v>#N/A</v>
      </c>
      <c r="CC17" s="172" t="b">
        <f t="shared" si="4"/>
        <v>0</v>
      </c>
      <c r="CD17" s="172">
        <f t="shared" si="5"/>
        <v>0</v>
      </c>
      <c r="CE17" s="172">
        <f t="shared" si="6"/>
        <v>0</v>
      </c>
      <c r="CF17" s="172">
        <f t="shared" si="7"/>
        <v>0</v>
      </c>
      <c r="CG17" s="172">
        <f t="shared" si="8"/>
        <v>0</v>
      </c>
      <c r="CL17" s="239" t="str">
        <f>IF(D17="","",IF(E17=Data!$ZI$2,VLOOKUP(D17,Data!$ZK$2:$ZP$15,3,FALSE),IF(E17=Data!$ZI$1,VLOOKUP(D17,Data!$ZQ$2:$ZS$13,3,FALSE),IF(E17=Data!$ZI$3,VLOOKUP(D17,Data!$ZW$2:$AAB$13,3,FALSE),IF(E17=Data!$ZI$4,VLOOKUP(D17,Data!$AAC$2:$AAI$13,3,FALSE),IF(E17=Data!$ZI$5,VLOOKUP(D17,Data!$AAC$26:$AAI$37,3,FALSE)))))))</f>
        <v/>
      </c>
      <c r="CM17" s="251">
        <f t="shared" si="20"/>
        <v>0</v>
      </c>
      <c r="CN17" s="251" t="e">
        <f t="shared" si="21"/>
        <v>#VALUE!</v>
      </c>
      <c r="CO17" s="239" t="e">
        <f t="shared" si="22"/>
        <v>#VALUE!</v>
      </c>
      <c r="CP17" s="239" t="str">
        <f>IF(D17="","",IF(E17=Data!$ZI$2,VLOOKUP(D17,Data!$ZK$2:$ZN$15,4,FALSE),IF(E17=Data!$ZI$1,VLOOKUP(D17,Data!$ZQ$2:$ZT$13,4,FALSE),IF(E17=Data!$ZI$3,VLOOKUP(D17,Data!$ZW$2:$AAC$13,4,FALSE),IF(E17=Data!$ZI$4,VLOOKUP(D17,Data!$AAC$2:$AAJ$13,4,FALSE),IF(E17=Data!$ZI$5,VLOOKUP(D17,Data!$AAC$26:$AAJ$37,4,FALSE)))))))</f>
        <v/>
      </c>
      <c r="CQ17" s="251">
        <f t="shared" si="23"/>
        <v>0</v>
      </c>
      <c r="CR17" s="251" t="e">
        <f t="shared" si="24"/>
        <v>#VALUE!</v>
      </c>
      <c r="CS17" s="239" t="e">
        <f t="shared" si="25"/>
        <v>#VALUE!</v>
      </c>
      <c r="CT17" s="311">
        <f t="shared" si="26"/>
        <v>0</v>
      </c>
      <c r="CU17" s="239" t="str">
        <f>IF(D17="","",IF(E17=Data!$ZI$2,VLOOKUP(D17,Data!$ZK$2:$ZO$15,5,FALSE),IF(E17=Data!$ZI$1,VLOOKUP(D17,Data!$ZQ$2:$ZU$13,5,FALSE),IF(E17=Data!$ZI$3,VLOOKUP(D17,Data!$ZW$2:$AAD$13,5,FALSE),IF(E17=Data!$ZI$4,VLOOKUP(D17,Data!$AAC$2:$AAK$13,5,FALSE),IF(E17=Data!$ZI$5,VLOOKUP(D17,Data!$AAC$26:$AAK$37,5,FALSE)))))))</f>
        <v/>
      </c>
      <c r="CV17" s="251">
        <f t="shared" si="27"/>
        <v>0</v>
      </c>
      <c r="CW17" s="251" t="e">
        <f t="shared" si="28"/>
        <v>#VALUE!</v>
      </c>
      <c r="CX17" s="239" t="e">
        <f t="shared" si="29"/>
        <v>#VALUE!</v>
      </c>
      <c r="CY17" s="239" t="str">
        <f>IF(D17="","",IF(E17=Data!$ZI$2,VLOOKUP(D17,Data!$ZK$2:$ZP$15,6,FALSE),IF(E17=Data!$ZI$1,VLOOKUP(D17,Data!$ZQ$2:$ZV$13,6,FALSE),IF(E17=Data!$ZI$3,VLOOKUP(D17,Data!$ZW$2:$AAE$13,6,FALSE),IF(E17=Data!$ZI$4,VLOOKUP(D17,Data!$AAC$2:$AAL$13,6,FALSE),IF(E17=Data!$ZI$5,VLOOKUP(D17,Data!$AAC$26:$AAL$37,6,FALSE)))))))</f>
        <v/>
      </c>
      <c r="CZ17" s="251">
        <f t="shared" si="30"/>
        <v>0</v>
      </c>
      <c r="DA17" s="251" t="e">
        <f t="shared" si="31"/>
        <v>#VALUE!</v>
      </c>
      <c r="DB17" s="239" t="e">
        <f t="shared" si="32"/>
        <v>#VALUE!</v>
      </c>
      <c r="DC17" s="311">
        <f t="shared" si="33"/>
        <v>0</v>
      </c>
    </row>
    <row r="18" spans="1:107" ht="30" customHeight="1">
      <c r="A18" s="52">
        <v>11</v>
      </c>
      <c r="B18" s="17"/>
      <c r="C18" s="17"/>
      <c r="D18" s="13"/>
      <c r="E18" s="235"/>
      <c r="F18" s="235"/>
      <c r="G18" s="235"/>
      <c r="H18" s="235"/>
      <c r="I18" s="14"/>
      <c r="J18" s="14"/>
      <c r="K18" s="14"/>
      <c r="L18" s="14"/>
      <c r="M18" s="525"/>
      <c r="N18" s="526"/>
      <c r="O18" s="15"/>
      <c r="P18" s="15"/>
      <c r="Q18" s="15"/>
      <c r="R18" s="15"/>
      <c r="S18" s="15"/>
      <c r="T18" s="13" t="str">
        <f t="shared" si="9"/>
        <v/>
      </c>
      <c r="U18" s="253" t="str">
        <f t="shared" si="10"/>
        <v/>
      </c>
      <c r="V18" s="471"/>
      <c r="W18" s="482" t="b">
        <f t="shared" si="11"/>
        <v>0</v>
      </c>
      <c r="X18" s="230"/>
      <c r="Y18" s="253"/>
      <c r="AA18" s="33" t="str">
        <f>IF(SUM(--ISNUMBER(SEARCH({"Skylight"}, D18))),Data!$AJ$19,Data!$AJ$1)</f>
        <v>WindowType</v>
      </c>
      <c r="AB18" s="33" t="str">
        <f t="shared" si="0"/>
        <v>OK</v>
      </c>
      <c r="AC18" s="33" t="str">
        <f>IF(AC17="Corner &amp; Bay","Corner &amp; Bay Window Diagram Must Be Supplied",IF(AC15="Corner","Corner Window Diagram Must Be Supplied",IF(AC16="Bay","Bay Window Diagram Must Be Supplied","")))</f>
        <v/>
      </c>
      <c r="AE18" s="239" t="e">
        <f>MATCH(E18, Data!$TB$2:$TB$6,0)</f>
        <v>#N/A</v>
      </c>
      <c r="AF18" s="239" t="e">
        <f>MATCH(F18,Data!$TC$1:$UB$1,0)</f>
        <v>#N/A</v>
      </c>
      <c r="AG18" s="239" t="e">
        <f>INDEX(Data!$TC$2:$UB$6,'Cellular Blinds'!AE18,'Cellular Blinds'!AF18)</f>
        <v>#N/A</v>
      </c>
      <c r="AH18" s="33" t="e">
        <f>VLOOKUP(D18,Data!$RU$2:$RV$15,2,FALSE)</f>
        <v>#N/A</v>
      </c>
      <c r="AI18" s="33" t="b">
        <f>IF(D18=Data!$UT$2,Data!$UU$1,IF(D18=Data!$UT$3,Data!$UV$1,IF(D18=Data!$UT$4,Data!$UW$1,IF(D18=Data!$UT$5,Data!$UX$1,IF(D18=Data!$UT$6,Data!$UY$1,IF(D18=Data!$UT$7,Data!$UZ$1,IF(D18=Data!$UT$8,Data!$VA$1,IF(D18=Data!$UT$9,Data!$VB$1,IF(D18=Data!$UT$10,Data!$VC$1,IF(D18=Data!$UT$11,Data!$VD$1,IF(D18=Data!$UT$12,Data!$VD$22,IF(D18=Data!$UT$13,Data!$VD$22,IF(D18=Data!$UT$14,Data!$UU$13,IF(D18=Data!$UT$15,Data!$UV$13))))))))))))))</f>
        <v>0</v>
      </c>
      <c r="AJ18" s="239" t="e">
        <f>MATCH(D18,Data!$VL$27:$VL$40,0)</f>
        <v>#N/A</v>
      </c>
      <c r="AK18" s="239" t="e">
        <f>MATCH(E18,Data!$VM$26:$VQ$26,0)</f>
        <v>#N/A</v>
      </c>
      <c r="AL18" s="239" t="e">
        <f>INDEX(Data!$VM$27:$VQ$40,'Cellular Blinds'!AJ18,'Cellular Blinds'!AK18)</f>
        <v>#N/A</v>
      </c>
      <c r="AM18" s="239" t="e">
        <f>MATCH(D18, Data!$VL$2:$VL$16,0)</f>
        <v>#N/A</v>
      </c>
      <c r="AN18" s="239" t="e">
        <f>MATCH(E18,Data!$VM$1:$VQ$1,0)</f>
        <v>#N/A</v>
      </c>
      <c r="AO18" s="239" t="e">
        <f>INDEX(Data!$VM$2:$VQ$16,'Cellular Blinds'!AM18,'Cellular Blinds'!AN18)</f>
        <v>#N/A</v>
      </c>
      <c r="AP18" s="33" t="e">
        <f>VLOOKUP(P18,Data!$UW$14:$UX$28,2,FALSE)</f>
        <v>#N/A</v>
      </c>
      <c r="AQ18" s="239" t="e">
        <f>MATCH(E18, Data!$XS$2:$XS$6,0)</f>
        <v>#N/A</v>
      </c>
      <c r="AR18" s="239" t="e">
        <f>MATCH(F18,Data!$XT$1:$YR$1,0)</f>
        <v>#N/A</v>
      </c>
      <c r="AS18" s="239" t="e">
        <f>INDEX(Data!$XT$2:$YR$6,'Cellular Blinds'!AQ18,'Cellular Blinds'!AR18)</f>
        <v>#N/A</v>
      </c>
      <c r="AT18" s="239" t="b">
        <f>IF(D18=Data!$YU$2,Data!$YV$1,IF(D18=Data!$YU$3,Data!$YW$1,IF(D18=Data!$YU$4,Data!$YX$1,IF(D18=Data!$YU$5,Data!$YY$1,IF(D18=Data!$YU$6,Data!$YZ$1,IF(D18=Data!$YU$7,Data!$ZA$1,IF(D18=Data!$YU$8,Data!$ZB$1,IF(D18=Data!$YU$9,Data!$ZC$1,IF(D18=Data!$YU$10,Data!$ZD$1,IF(D18=Data!$YU$11,Data!$ZE$1,IF(D18=Data!$YU$12,Data!$ZE$1,IF(D18=Data!$YU$13,Data!$ZE$1,IF(D18=Data!$YU$14,Data!$ZG$11,IF(D18=Data!$YU$15,Data!$ZF$11))))))))))))))</f>
        <v>0</v>
      </c>
      <c r="AU18" s="239" t="str">
        <f>IF(D18="","",IF(E18=Data!$ZI$2,VLOOKUP(D18,Data!$ZK$2:$ZL$15,2,FALSE),IF(E18=Data!$ZI$1,VLOOKUP(D18,Data!$ZQ$2:$ZR$13,2,FALSE),IF(E18=Data!$ZI$3,VLOOKUP(D18,Data!$ZW$2:$ZX$13,2,FALSE),IF(E18=Data!$ZI$4,VLOOKUP(D18,Data!$AAC$2:$AAD$13,2,FALSE),IF(E18=Data!$ZI$5,VLOOKUP(D18,Data!$AAC$26:$AAD$37,2,FALSE)))))))</f>
        <v/>
      </c>
      <c r="AV18" s="251" t="str">
        <f t="shared" si="12"/>
        <v/>
      </c>
      <c r="AW18" s="251" t="str">
        <f t="shared" si="13"/>
        <v/>
      </c>
      <c r="AX18" s="239" t="str">
        <f t="shared" si="14"/>
        <v/>
      </c>
      <c r="BA18" s="33" t="str">
        <f t="shared" si="15"/>
        <v>FittingBoth</v>
      </c>
      <c r="BN18" s="476" t="str">
        <f t="shared" si="1"/>
        <v>UChannelNA</v>
      </c>
      <c r="BO18" s="476" t="e">
        <f t="shared" si="16"/>
        <v>#N/A</v>
      </c>
      <c r="BP18" s="476" t="str">
        <f t="shared" si="17"/>
        <v>No</v>
      </c>
      <c r="BQ18" s="476" t="str">
        <f t="shared" si="18"/>
        <v>No</v>
      </c>
      <c r="BR18" s="476" t="e">
        <f t="shared" si="2"/>
        <v>#N/A</v>
      </c>
      <c r="BS18" s="476" t="s">
        <v>2036</v>
      </c>
      <c r="BT18" s="476" t="s">
        <v>69</v>
      </c>
      <c r="BU18" s="172">
        <f t="shared" si="19"/>
        <v>2</v>
      </c>
      <c r="CB18" s="33" t="e">
        <f t="shared" si="3"/>
        <v>#N/A</v>
      </c>
      <c r="CC18" s="172" t="b">
        <f t="shared" si="4"/>
        <v>0</v>
      </c>
      <c r="CD18" s="172">
        <f t="shared" si="5"/>
        <v>0</v>
      </c>
      <c r="CE18" s="172">
        <f t="shared" si="6"/>
        <v>0</v>
      </c>
      <c r="CF18" s="172">
        <f t="shared" si="7"/>
        <v>0</v>
      </c>
      <c r="CG18" s="172">
        <f t="shared" si="8"/>
        <v>0</v>
      </c>
      <c r="CL18" s="239" t="str">
        <f>IF(D18="","",IF(E18=Data!$ZI$2,VLOOKUP(D18,Data!$ZK$2:$ZP$15,3,FALSE),IF(E18=Data!$ZI$1,VLOOKUP(D18,Data!$ZQ$2:$ZS$13,3,FALSE),IF(E18=Data!$ZI$3,VLOOKUP(D18,Data!$ZW$2:$AAB$13,3,FALSE),IF(E18=Data!$ZI$4,VLOOKUP(D18,Data!$AAC$2:$AAI$13,3,FALSE),IF(E18=Data!$ZI$5,VLOOKUP(D18,Data!$AAC$26:$AAI$37,3,FALSE)))))))</f>
        <v/>
      </c>
      <c r="CM18" s="251">
        <f t="shared" si="20"/>
        <v>0</v>
      </c>
      <c r="CN18" s="251" t="e">
        <f t="shared" si="21"/>
        <v>#VALUE!</v>
      </c>
      <c r="CO18" s="239" t="e">
        <f t="shared" si="22"/>
        <v>#VALUE!</v>
      </c>
      <c r="CP18" s="239" t="str">
        <f>IF(D18="","",IF(E18=Data!$ZI$2,VLOOKUP(D18,Data!$ZK$2:$ZN$15,4,FALSE),IF(E18=Data!$ZI$1,VLOOKUP(D18,Data!$ZQ$2:$ZT$13,4,FALSE),IF(E18=Data!$ZI$3,VLOOKUP(D18,Data!$ZW$2:$AAC$13,4,FALSE),IF(E18=Data!$ZI$4,VLOOKUP(D18,Data!$AAC$2:$AAJ$13,4,FALSE),IF(E18=Data!$ZI$5,VLOOKUP(D18,Data!$AAC$26:$AAJ$37,4,FALSE)))))))</f>
        <v/>
      </c>
      <c r="CQ18" s="251">
        <f t="shared" si="23"/>
        <v>0</v>
      </c>
      <c r="CR18" s="251" t="e">
        <f t="shared" si="24"/>
        <v>#VALUE!</v>
      </c>
      <c r="CS18" s="239" t="e">
        <f t="shared" si="25"/>
        <v>#VALUE!</v>
      </c>
      <c r="CT18" s="311">
        <f t="shared" si="26"/>
        <v>0</v>
      </c>
      <c r="CU18" s="239" t="str">
        <f>IF(D18="","",IF(E18=Data!$ZI$2,VLOOKUP(D18,Data!$ZK$2:$ZO$15,5,FALSE),IF(E18=Data!$ZI$1,VLOOKUP(D18,Data!$ZQ$2:$ZU$13,5,FALSE),IF(E18=Data!$ZI$3,VLOOKUP(D18,Data!$ZW$2:$AAD$13,5,FALSE),IF(E18=Data!$ZI$4,VLOOKUP(D18,Data!$AAC$2:$AAK$13,5,FALSE),IF(E18=Data!$ZI$5,VLOOKUP(D18,Data!$AAC$26:$AAK$37,5,FALSE)))))))</f>
        <v/>
      </c>
      <c r="CV18" s="251">
        <f t="shared" si="27"/>
        <v>0</v>
      </c>
      <c r="CW18" s="251" t="e">
        <f t="shared" si="28"/>
        <v>#VALUE!</v>
      </c>
      <c r="CX18" s="239" t="e">
        <f t="shared" si="29"/>
        <v>#VALUE!</v>
      </c>
      <c r="CY18" s="239" t="str">
        <f>IF(D18="","",IF(E18=Data!$ZI$2,VLOOKUP(D18,Data!$ZK$2:$ZP$15,6,FALSE),IF(E18=Data!$ZI$1,VLOOKUP(D18,Data!$ZQ$2:$ZV$13,6,FALSE),IF(E18=Data!$ZI$3,VLOOKUP(D18,Data!$ZW$2:$AAE$13,6,FALSE),IF(E18=Data!$ZI$4,VLOOKUP(D18,Data!$AAC$2:$AAL$13,6,FALSE),IF(E18=Data!$ZI$5,VLOOKUP(D18,Data!$AAC$26:$AAL$37,6,FALSE)))))))</f>
        <v/>
      </c>
      <c r="CZ18" s="251">
        <f t="shared" si="30"/>
        <v>0</v>
      </c>
      <c r="DA18" s="251" t="e">
        <f t="shared" si="31"/>
        <v>#VALUE!</v>
      </c>
      <c r="DB18" s="239" t="e">
        <f t="shared" si="32"/>
        <v>#VALUE!</v>
      </c>
      <c r="DC18" s="311">
        <f t="shared" si="33"/>
        <v>0</v>
      </c>
    </row>
    <row r="19" spans="1:107" ht="30" customHeight="1">
      <c r="A19" s="52">
        <v>12</v>
      </c>
      <c r="B19" s="17"/>
      <c r="C19" s="17"/>
      <c r="D19" s="13"/>
      <c r="E19" s="235"/>
      <c r="F19" s="235"/>
      <c r="G19" s="235"/>
      <c r="H19" s="235"/>
      <c r="I19" s="14"/>
      <c r="J19" s="14"/>
      <c r="K19" s="14"/>
      <c r="L19" s="14"/>
      <c r="M19" s="525"/>
      <c r="N19" s="526"/>
      <c r="O19" s="15"/>
      <c r="P19" s="15"/>
      <c r="Q19" s="15"/>
      <c r="R19" s="15"/>
      <c r="S19" s="15"/>
      <c r="T19" s="13" t="str">
        <f t="shared" si="9"/>
        <v/>
      </c>
      <c r="U19" s="253" t="str">
        <f t="shared" si="10"/>
        <v/>
      </c>
      <c r="V19" s="471"/>
      <c r="W19" s="482" t="b">
        <f t="shared" si="11"/>
        <v>0</v>
      </c>
      <c r="X19" s="230"/>
      <c r="Y19" s="253"/>
      <c r="AA19" s="33" t="str">
        <f>IF(SUM(--ISNUMBER(SEARCH({"Skylight"}, D19))),Data!$AJ$19,Data!$AJ$1)</f>
        <v>WindowType</v>
      </c>
      <c r="AB19" s="33" t="str">
        <f t="shared" si="0"/>
        <v>OK</v>
      </c>
      <c r="AE19" s="239" t="e">
        <f>MATCH(E19, Data!$TB$2:$TB$6,0)</f>
        <v>#N/A</v>
      </c>
      <c r="AF19" s="239" t="e">
        <f>MATCH(F19,Data!$TC$1:$UB$1,0)</f>
        <v>#N/A</v>
      </c>
      <c r="AG19" s="239" t="e">
        <f>INDEX(Data!$TC$2:$UB$6,'Cellular Blinds'!AE19,'Cellular Blinds'!AF19)</f>
        <v>#N/A</v>
      </c>
      <c r="AH19" s="33" t="e">
        <f>VLOOKUP(D19,Data!$RU$2:$RV$15,2,FALSE)</f>
        <v>#N/A</v>
      </c>
      <c r="AI19" s="33" t="b">
        <f>IF(D19=Data!$UT$2,Data!$UU$1,IF(D19=Data!$UT$3,Data!$UV$1,IF(D19=Data!$UT$4,Data!$UW$1,IF(D19=Data!$UT$5,Data!$UX$1,IF(D19=Data!$UT$6,Data!$UY$1,IF(D19=Data!$UT$7,Data!$UZ$1,IF(D19=Data!$UT$8,Data!$VA$1,IF(D19=Data!$UT$9,Data!$VB$1,IF(D19=Data!$UT$10,Data!$VC$1,IF(D19=Data!$UT$11,Data!$VD$1,IF(D19=Data!$UT$12,Data!$VD$22,IF(D19=Data!$UT$13,Data!$VD$22,IF(D19=Data!$UT$14,Data!$UU$13,IF(D19=Data!$UT$15,Data!$UV$13))))))))))))))</f>
        <v>0</v>
      </c>
      <c r="AJ19" s="239" t="e">
        <f>MATCH(D19,Data!$VL$27:$VL$40,0)</f>
        <v>#N/A</v>
      </c>
      <c r="AK19" s="239" t="e">
        <f>MATCH(E19,Data!$VM$26:$VQ$26,0)</f>
        <v>#N/A</v>
      </c>
      <c r="AL19" s="239" t="e">
        <f>INDEX(Data!$VM$27:$VQ$40,'Cellular Blinds'!AJ19,'Cellular Blinds'!AK19)</f>
        <v>#N/A</v>
      </c>
      <c r="AM19" s="239" t="e">
        <f>MATCH(D19, Data!$VL$2:$VL$16,0)</f>
        <v>#N/A</v>
      </c>
      <c r="AN19" s="239" t="e">
        <f>MATCH(E19,Data!$VM$1:$VQ$1,0)</f>
        <v>#N/A</v>
      </c>
      <c r="AO19" s="239" t="e">
        <f>INDEX(Data!$VM$2:$VQ$16,'Cellular Blinds'!AM19,'Cellular Blinds'!AN19)</f>
        <v>#N/A</v>
      </c>
      <c r="AP19" s="33" t="e">
        <f>VLOOKUP(P19,Data!$UW$14:$UX$28,2,FALSE)</f>
        <v>#N/A</v>
      </c>
      <c r="AQ19" s="239" t="e">
        <f>MATCH(E19, Data!$XS$2:$XS$6,0)</f>
        <v>#N/A</v>
      </c>
      <c r="AR19" s="239" t="e">
        <f>MATCH(F19,Data!$XT$1:$YR$1,0)</f>
        <v>#N/A</v>
      </c>
      <c r="AS19" s="239" t="e">
        <f>INDEX(Data!$XT$2:$YR$6,'Cellular Blinds'!AQ19,'Cellular Blinds'!AR19)</f>
        <v>#N/A</v>
      </c>
      <c r="AT19" s="239" t="b">
        <f>IF(D19=Data!$YU$2,Data!$YV$1,IF(D19=Data!$YU$3,Data!$YW$1,IF(D19=Data!$YU$4,Data!$YX$1,IF(D19=Data!$YU$5,Data!$YY$1,IF(D19=Data!$YU$6,Data!$YZ$1,IF(D19=Data!$YU$7,Data!$ZA$1,IF(D19=Data!$YU$8,Data!$ZB$1,IF(D19=Data!$YU$9,Data!$ZC$1,IF(D19=Data!$YU$10,Data!$ZD$1,IF(D19=Data!$YU$11,Data!$ZE$1,IF(D19=Data!$YU$12,Data!$ZE$1,IF(D19=Data!$YU$13,Data!$ZE$1,IF(D19=Data!$YU$14,Data!$ZG$11,IF(D19=Data!$YU$15,Data!$ZF$11))))))))))))))</f>
        <v>0</v>
      </c>
      <c r="AU19" s="239" t="str">
        <f>IF(D19="","",IF(E19=Data!$ZI$2,VLOOKUP(D19,Data!$ZK$2:$ZL$15,2,FALSE),IF(E19=Data!$ZI$1,VLOOKUP(D19,Data!$ZQ$2:$ZR$13,2,FALSE),IF(E19=Data!$ZI$3,VLOOKUP(D19,Data!$ZW$2:$ZX$13,2,FALSE),IF(E19=Data!$ZI$4,VLOOKUP(D19,Data!$AAC$2:$AAD$13,2,FALSE),IF(E19=Data!$ZI$5,VLOOKUP(D19,Data!$AAC$26:$AAD$37,2,FALSE)))))))</f>
        <v/>
      </c>
      <c r="AV19" s="251" t="str">
        <f t="shared" si="12"/>
        <v/>
      </c>
      <c r="AW19" s="251" t="str">
        <f t="shared" si="13"/>
        <v/>
      </c>
      <c r="AX19" s="239" t="str">
        <f t="shared" si="14"/>
        <v/>
      </c>
      <c r="BA19" s="33" t="str">
        <f t="shared" si="15"/>
        <v>FittingBoth</v>
      </c>
      <c r="BN19" s="476" t="str">
        <f t="shared" si="1"/>
        <v>UChannelNA</v>
      </c>
      <c r="BO19" s="476" t="e">
        <f t="shared" si="16"/>
        <v>#N/A</v>
      </c>
      <c r="BP19" s="476" t="str">
        <f t="shared" si="17"/>
        <v>No</v>
      </c>
      <c r="BQ19" s="476" t="str">
        <f t="shared" si="18"/>
        <v>No</v>
      </c>
      <c r="BR19" s="476" t="e">
        <f t="shared" si="2"/>
        <v>#N/A</v>
      </c>
      <c r="BS19" s="476" t="s">
        <v>2037</v>
      </c>
      <c r="BT19" s="476" t="s">
        <v>69</v>
      </c>
      <c r="BU19" s="172">
        <f t="shared" si="19"/>
        <v>2</v>
      </c>
      <c r="CB19" s="33" t="e">
        <f t="shared" si="3"/>
        <v>#N/A</v>
      </c>
      <c r="CC19" s="172" t="b">
        <f t="shared" si="4"/>
        <v>0</v>
      </c>
      <c r="CD19" s="172">
        <f t="shared" si="5"/>
        <v>0</v>
      </c>
      <c r="CE19" s="172">
        <f t="shared" si="6"/>
        <v>0</v>
      </c>
      <c r="CF19" s="172">
        <f t="shared" si="7"/>
        <v>0</v>
      </c>
      <c r="CG19" s="172">
        <f t="shared" si="8"/>
        <v>0</v>
      </c>
      <c r="CL19" s="239" t="str">
        <f>IF(D19="","",IF(E19=Data!$ZI$2,VLOOKUP(D19,Data!$ZK$2:$ZP$15,3,FALSE),IF(E19=Data!$ZI$1,VLOOKUP(D19,Data!$ZQ$2:$ZS$13,3,FALSE),IF(E19=Data!$ZI$3,VLOOKUP(D19,Data!$ZW$2:$AAB$13,3,FALSE),IF(E19=Data!$ZI$4,VLOOKUP(D19,Data!$AAC$2:$AAI$13,3,FALSE),IF(E19=Data!$ZI$5,VLOOKUP(D19,Data!$AAC$26:$AAI$37,3,FALSE)))))))</f>
        <v/>
      </c>
      <c r="CM19" s="251">
        <f t="shared" si="20"/>
        <v>0</v>
      </c>
      <c r="CN19" s="251" t="e">
        <f t="shared" si="21"/>
        <v>#VALUE!</v>
      </c>
      <c r="CO19" s="239" t="e">
        <f t="shared" si="22"/>
        <v>#VALUE!</v>
      </c>
      <c r="CP19" s="239" t="str">
        <f>IF(D19="","",IF(E19=Data!$ZI$2,VLOOKUP(D19,Data!$ZK$2:$ZN$15,4,FALSE),IF(E19=Data!$ZI$1,VLOOKUP(D19,Data!$ZQ$2:$ZT$13,4,FALSE),IF(E19=Data!$ZI$3,VLOOKUP(D19,Data!$ZW$2:$AAC$13,4,FALSE),IF(E19=Data!$ZI$4,VLOOKUP(D19,Data!$AAC$2:$AAJ$13,4,FALSE),IF(E19=Data!$ZI$5,VLOOKUP(D19,Data!$AAC$26:$AAJ$37,4,FALSE)))))))</f>
        <v/>
      </c>
      <c r="CQ19" s="251">
        <f t="shared" si="23"/>
        <v>0</v>
      </c>
      <c r="CR19" s="251" t="e">
        <f t="shared" si="24"/>
        <v>#VALUE!</v>
      </c>
      <c r="CS19" s="239" t="e">
        <f t="shared" si="25"/>
        <v>#VALUE!</v>
      </c>
      <c r="CT19" s="311">
        <f t="shared" si="26"/>
        <v>0</v>
      </c>
      <c r="CU19" s="239" t="str">
        <f>IF(D19="","",IF(E19=Data!$ZI$2,VLOOKUP(D19,Data!$ZK$2:$ZO$15,5,FALSE),IF(E19=Data!$ZI$1,VLOOKUP(D19,Data!$ZQ$2:$ZU$13,5,FALSE),IF(E19=Data!$ZI$3,VLOOKUP(D19,Data!$ZW$2:$AAD$13,5,FALSE),IF(E19=Data!$ZI$4,VLOOKUP(D19,Data!$AAC$2:$AAK$13,5,FALSE),IF(E19=Data!$ZI$5,VLOOKUP(D19,Data!$AAC$26:$AAK$37,5,FALSE)))))))</f>
        <v/>
      </c>
      <c r="CV19" s="251">
        <f t="shared" si="27"/>
        <v>0</v>
      </c>
      <c r="CW19" s="251" t="e">
        <f t="shared" si="28"/>
        <v>#VALUE!</v>
      </c>
      <c r="CX19" s="239" t="e">
        <f t="shared" si="29"/>
        <v>#VALUE!</v>
      </c>
      <c r="CY19" s="239" t="str">
        <f>IF(D19="","",IF(E19=Data!$ZI$2,VLOOKUP(D19,Data!$ZK$2:$ZP$15,6,FALSE),IF(E19=Data!$ZI$1,VLOOKUP(D19,Data!$ZQ$2:$ZV$13,6,FALSE),IF(E19=Data!$ZI$3,VLOOKUP(D19,Data!$ZW$2:$AAE$13,6,FALSE),IF(E19=Data!$ZI$4,VLOOKUP(D19,Data!$AAC$2:$AAL$13,6,FALSE),IF(E19=Data!$ZI$5,VLOOKUP(D19,Data!$AAC$26:$AAL$37,6,FALSE)))))))</f>
        <v/>
      </c>
      <c r="CZ19" s="251">
        <f t="shared" si="30"/>
        <v>0</v>
      </c>
      <c r="DA19" s="251" t="e">
        <f t="shared" si="31"/>
        <v>#VALUE!</v>
      </c>
      <c r="DB19" s="239" t="e">
        <f t="shared" si="32"/>
        <v>#VALUE!</v>
      </c>
      <c r="DC19" s="311">
        <f t="shared" si="33"/>
        <v>0</v>
      </c>
    </row>
    <row r="20" spans="1:107" ht="30" customHeight="1">
      <c r="A20" s="52">
        <v>13</v>
      </c>
      <c r="B20" s="20"/>
      <c r="C20" s="17"/>
      <c r="D20" s="13"/>
      <c r="E20" s="235"/>
      <c r="F20" s="235"/>
      <c r="G20" s="235"/>
      <c r="H20" s="235"/>
      <c r="I20" s="14"/>
      <c r="J20" s="14"/>
      <c r="K20" s="14"/>
      <c r="L20" s="14"/>
      <c r="M20" s="525"/>
      <c r="N20" s="526"/>
      <c r="O20" s="15"/>
      <c r="P20" s="15"/>
      <c r="Q20" s="15"/>
      <c r="R20" s="15"/>
      <c r="S20" s="15"/>
      <c r="T20" s="13" t="str">
        <f t="shared" si="9"/>
        <v/>
      </c>
      <c r="U20" s="253" t="str">
        <f t="shared" si="10"/>
        <v/>
      </c>
      <c r="V20" s="471"/>
      <c r="W20" s="482" t="b">
        <f t="shared" si="11"/>
        <v>0</v>
      </c>
      <c r="X20" s="230"/>
      <c r="Y20" s="253"/>
      <c r="AA20" s="33" t="str">
        <f>IF(SUM(--ISNUMBER(SEARCH({"Skylight"}, D20))),Data!$AJ$19,Data!$AJ$1)</f>
        <v>WindowType</v>
      </c>
      <c r="AB20" s="33" t="str">
        <f t="shared" si="0"/>
        <v>OK</v>
      </c>
      <c r="AE20" s="239" t="e">
        <f>MATCH(E20, Data!$TB$2:$TB$6,0)</f>
        <v>#N/A</v>
      </c>
      <c r="AF20" s="239" t="e">
        <f>MATCH(F20,Data!$TC$1:$UB$1,0)</f>
        <v>#N/A</v>
      </c>
      <c r="AG20" s="239" t="e">
        <f>INDEX(Data!$TC$2:$UB$6,'Cellular Blinds'!AE20,'Cellular Blinds'!AF20)</f>
        <v>#N/A</v>
      </c>
      <c r="AH20" s="33" t="e">
        <f>VLOOKUP(D20,Data!$RU$2:$RV$15,2,FALSE)</f>
        <v>#N/A</v>
      </c>
      <c r="AI20" s="33" t="b">
        <f>IF(D20=Data!$UT$2,Data!$UU$1,IF(D20=Data!$UT$3,Data!$UV$1,IF(D20=Data!$UT$4,Data!$UW$1,IF(D20=Data!$UT$5,Data!$UX$1,IF(D20=Data!$UT$6,Data!$UY$1,IF(D20=Data!$UT$7,Data!$UZ$1,IF(D20=Data!$UT$8,Data!$VA$1,IF(D20=Data!$UT$9,Data!$VB$1,IF(D20=Data!$UT$10,Data!$VC$1,IF(D20=Data!$UT$11,Data!$VD$1,IF(D20=Data!$UT$12,Data!$VD$22,IF(D20=Data!$UT$13,Data!$VD$22,IF(D20=Data!$UT$14,Data!$UU$13,IF(D20=Data!$UT$15,Data!$UV$13))))))))))))))</f>
        <v>0</v>
      </c>
      <c r="AJ20" s="239" t="e">
        <f>MATCH(D20,Data!$VL$27:$VL$40,0)</f>
        <v>#N/A</v>
      </c>
      <c r="AK20" s="239" t="e">
        <f>MATCH(E20,Data!$VM$26:$VQ$26,0)</f>
        <v>#N/A</v>
      </c>
      <c r="AL20" s="239" t="e">
        <f>INDEX(Data!$VM$27:$VQ$40,'Cellular Blinds'!AJ20,'Cellular Blinds'!AK20)</f>
        <v>#N/A</v>
      </c>
      <c r="AM20" s="239" t="e">
        <f>MATCH(D20, Data!$VL$2:$VL$16,0)</f>
        <v>#N/A</v>
      </c>
      <c r="AN20" s="239" t="e">
        <f>MATCH(E20,Data!$VM$1:$VQ$1,0)</f>
        <v>#N/A</v>
      </c>
      <c r="AO20" s="239" t="e">
        <f>INDEX(Data!$VM$2:$VQ$16,'Cellular Blinds'!AM20,'Cellular Blinds'!AN20)</f>
        <v>#N/A</v>
      </c>
      <c r="AP20" s="33" t="e">
        <f>VLOOKUP(P20,Data!$UW$14:$UX$28,2,FALSE)</f>
        <v>#N/A</v>
      </c>
      <c r="AQ20" s="239" t="e">
        <f>MATCH(E20, Data!$XS$2:$XS$6,0)</f>
        <v>#N/A</v>
      </c>
      <c r="AR20" s="239" t="e">
        <f>MATCH(F20,Data!$XT$1:$YR$1,0)</f>
        <v>#N/A</v>
      </c>
      <c r="AS20" s="239" t="e">
        <f>INDEX(Data!$XT$2:$YR$6,'Cellular Blinds'!AQ20,'Cellular Blinds'!AR20)</f>
        <v>#N/A</v>
      </c>
      <c r="AT20" s="239" t="b">
        <f>IF(D20=Data!$YU$2,Data!$YV$1,IF(D20=Data!$YU$3,Data!$YW$1,IF(D20=Data!$YU$4,Data!$YX$1,IF(D20=Data!$YU$5,Data!$YY$1,IF(D20=Data!$YU$6,Data!$YZ$1,IF(D20=Data!$YU$7,Data!$ZA$1,IF(D20=Data!$YU$8,Data!$ZB$1,IF(D20=Data!$YU$9,Data!$ZC$1,IF(D20=Data!$YU$10,Data!$ZD$1,IF(D20=Data!$YU$11,Data!$ZE$1,IF(D20=Data!$YU$12,Data!$ZE$1,IF(D20=Data!$YU$13,Data!$ZE$1,IF(D20=Data!$YU$14,Data!$ZG$11,IF(D20=Data!$YU$15,Data!$ZF$11))))))))))))))</f>
        <v>0</v>
      </c>
      <c r="AU20" s="239" t="str">
        <f>IF(D20="","",IF(E20=Data!$ZI$2,VLOOKUP(D20,Data!$ZK$2:$ZL$15,2,FALSE),IF(E20=Data!$ZI$1,VLOOKUP(D20,Data!$ZQ$2:$ZR$13,2,FALSE),IF(E20=Data!$ZI$3,VLOOKUP(D20,Data!$ZW$2:$ZX$13,2,FALSE),IF(E20=Data!$ZI$4,VLOOKUP(D20,Data!$AAC$2:$AAD$13,2,FALSE),IF(E20=Data!$ZI$5,VLOOKUP(D20,Data!$AAC$26:$AAD$37,2,FALSE)))))))</f>
        <v/>
      </c>
      <c r="AV20" s="251" t="str">
        <f t="shared" si="12"/>
        <v/>
      </c>
      <c r="AW20" s="251" t="str">
        <f t="shared" si="13"/>
        <v/>
      </c>
      <c r="AX20" s="239" t="str">
        <f t="shared" si="14"/>
        <v/>
      </c>
      <c r="BA20" s="33" t="str">
        <f t="shared" si="15"/>
        <v>FittingBoth</v>
      </c>
      <c r="BN20" s="476" t="str">
        <f t="shared" si="1"/>
        <v>UChannelNA</v>
      </c>
      <c r="BO20" s="476" t="e">
        <f t="shared" si="16"/>
        <v>#N/A</v>
      </c>
      <c r="BP20" s="476" t="str">
        <f t="shared" si="17"/>
        <v>No</v>
      </c>
      <c r="BQ20" s="476" t="str">
        <f t="shared" si="18"/>
        <v>No</v>
      </c>
      <c r="BR20" s="476" t="e">
        <f t="shared" si="2"/>
        <v>#N/A</v>
      </c>
      <c r="BS20" s="476" t="s">
        <v>2177</v>
      </c>
      <c r="BT20" s="476" t="s">
        <v>69</v>
      </c>
      <c r="BU20" s="172">
        <f t="shared" si="19"/>
        <v>2</v>
      </c>
      <c r="CB20" s="33" t="e">
        <f t="shared" si="3"/>
        <v>#N/A</v>
      </c>
      <c r="CC20" s="172" t="b">
        <f t="shared" si="4"/>
        <v>0</v>
      </c>
      <c r="CD20" s="172">
        <f t="shared" si="5"/>
        <v>0</v>
      </c>
      <c r="CE20" s="172">
        <f t="shared" si="6"/>
        <v>0</v>
      </c>
      <c r="CF20" s="172">
        <f t="shared" si="7"/>
        <v>0</v>
      </c>
      <c r="CG20" s="172">
        <f t="shared" si="8"/>
        <v>0</v>
      </c>
      <c r="CL20" s="239" t="str">
        <f>IF(D20="","",IF(E20=Data!$ZI$2,VLOOKUP(D20,Data!$ZK$2:$ZP$15,3,FALSE),IF(E20=Data!$ZI$1,VLOOKUP(D20,Data!$ZQ$2:$ZS$13,3,FALSE),IF(E20=Data!$ZI$3,VLOOKUP(D20,Data!$ZW$2:$AAB$13,3,FALSE),IF(E20=Data!$ZI$4,VLOOKUP(D20,Data!$AAC$2:$AAI$13,3,FALSE),IF(E20=Data!$ZI$5,VLOOKUP(D20,Data!$AAC$26:$AAI$37,3,FALSE)))))))</f>
        <v/>
      </c>
      <c r="CM20" s="251">
        <f t="shared" si="20"/>
        <v>0</v>
      </c>
      <c r="CN20" s="251" t="e">
        <f t="shared" si="21"/>
        <v>#VALUE!</v>
      </c>
      <c r="CO20" s="239" t="e">
        <f t="shared" si="22"/>
        <v>#VALUE!</v>
      </c>
      <c r="CP20" s="239" t="str">
        <f>IF(D20="","",IF(E20=Data!$ZI$2,VLOOKUP(D20,Data!$ZK$2:$ZN$15,4,FALSE),IF(E20=Data!$ZI$1,VLOOKUP(D20,Data!$ZQ$2:$ZT$13,4,FALSE),IF(E20=Data!$ZI$3,VLOOKUP(D20,Data!$ZW$2:$AAC$13,4,FALSE),IF(E20=Data!$ZI$4,VLOOKUP(D20,Data!$AAC$2:$AAJ$13,4,FALSE),IF(E20=Data!$ZI$5,VLOOKUP(D20,Data!$AAC$26:$AAJ$37,4,FALSE)))))))</f>
        <v/>
      </c>
      <c r="CQ20" s="251">
        <f t="shared" si="23"/>
        <v>0</v>
      </c>
      <c r="CR20" s="251" t="e">
        <f t="shared" si="24"/>
        <v>#VALUE!</v>
      </c>
      <c r="CS20" s="239" t="e">
        <f t="shared" si="25"/>
        <v>#VALUE!</v>
      </c>
      <c r="CT20" s="311">
        <f t="shared" si="26"/>
        <v>0</v>
      </c>
      <c r="CU20" s="239" t="str">
        <f>IF(D20="","",IF(E20=Data!$ZI$2,VLOOKUP(D20,Data!$ZK$2:$ZO$15,5,FALSE),IF(E20=Data!$ZI$1,VLOOKUP(D20,Data!$ZQ$2:$ZU$13,5,FALSE),IF(E20=Data!$ZI$3,VLOOKUP(D20,Data!$ZW$2:$AAD$13,5,FALSE),IF(E20=Data!$ZI$4,VLOOKUP(D20,Data!$AAC$2:$AAK$13,5,FALSE),IF(E20=Data!$ZI$5,VLOOKUP(D20,Data!$AAC$26:$AAK$37,5,FALSE)))))))</f>
        <v/>
      </c>
      <c r="CV20" s="251">
        <f t="shared" si="27"/>
        <v>0</v>
      </c>
      <c r="CW20" s="251" t="e">
        <f t="shared" si="28"/>
        <v>#VALUE!</v>
      </c>
      <c r="CX20" s="239" t="e">
        <f t="shared" si="29"/>
        <v>#VALUE!</v>
      </c>
      <c r="CY20" s="239" t="str">
        <f>IF(D20="","",IF(E20=Data!$ZI$2,VLOOKUP(D20,Data!$ZK$2:$ZP$15,6,FALSE),IF(E20=Data!$ZI$1,VLOOKUP(D20,Data!$ZQ$2:$ZV$13,6,FALSE),IF(E20=Data!$ZI$3,VLOOKUP(D20,Data!$ZW$2:$AAE$13,6,FALSE),IF(E20=Data!$ZI$4,VLOOKUP(D20,Data!$AAC$2:$AAL$13,6,FALSE),IF(E20=Data!$ZI$5,VLOOKUP(D20,Data!$AAC$26:$AAL$37,6,FALSE)))))))</f>
        <v/>
      </c>
      <c r="CZ20" s="251">
        <f t="shared" si="30"/>
        <v>0</v>
      </c>
      <c r="DA20" s="251" t="e">
        <f t="shared" si="31"/>
        <v>#VALUE!</v>
      </c>
      <c r="DB20" s="239" t="e">
        <f t="shared" si="32"/>
        <v>#VALUE!</v>
      </c>
      <c r="DC20" s="311">
        <f t="shared" si="33"/>
        <v>0</v>
      </c>
    </row>
    <row r="21" spans="1:107" ht="30" customHeight="1">
      <c r="A21" s="52">
        <v>14</v>
      </c>
      <c r="B21" s="17"/>
      <c r="C21" s="17"/>
      <c r="D21" s="13"/>
      <c r="E21" s="235"/>
      <c r="F21" s="235"/>
      <c r="G21" s="235"/>
      <c r="H21" s="235"/>
      <c r="I21" s="14"/>
      <c r="J21" s="14"/>
      <c r="K21" s="14"/>
      <c r="L21" s="14"/>
      <c r="M21" s="525"/>
      <c r="N21" s="526"/>
      <c r="O21" s="15"/>
      <c r="P21" s="15"/>
      <c r="Q21" s="15"/>
      <c r="R21" s="15"/>
      <c r="S21" s="15"/>
      <c r="T21" s="13" t="str">
        <f t="shared" si="9"/>
        <v/>
      </c>
      <c r="U21" s="253" t="str">
        <f t="shared" si="10"/>
        <v/>
      </c>
      <c r="V21" s="471"/>
      <c r="W21" s="482" t="b">
        <f t="shared" si="11"/>
        <v>0</v>
      </c>
      <c r="X21" s="230"/>
      <c r="Y21" s="253"/>
      <c r="AA21" s="33" t="str">
        <f>IF(SUM(--ISNUMBER(SEARCH({"Skylight"}, D21))),Data!$AJ$19,Data!$AJ$1)</f>
        <v>WindowType</v>
      </c>
      <c r="AB21" s="33" t="str">
        <f t="shared" si="0"/>
        <v>OK</v>
      </c>
      <c r="AE21" s="239" t="e">
        <f>MATCH(E21, Data!$TB$2:$TB$6,0)</f>
        <v>#N/A</v>
      </c>
      <c r="AF21" s="239" t="e">
        <f>MATCH(F21,Data!$TC$1:$UB$1,0)</f>
        <v>#N/A</v>
      </c>
      <c r="AG21" s="239" t="e">
        <f>INDEX(Data!$TC$2:$UB$6,'Cellular Blinds'!AE21,'Cellular Blinds'!AF21)</f>
        <v>#N/A</v>
      </c>
      <c r="AH21" s="33" t="e">
        <f>VLOOKUP(D21,Data!$RU$2:$RV$15,2,FALSE)</f>
        <v>#N/A</v>
      </c>
      <c r="AI21" s="33" t="b">
        <f>IF(D21=Data!$UT$2,Data!$UU$1,IF(D21=Data!$UT$3,Data!$UV$1,IF(D21=Data!$UT$4,Data!$UW$1,IF(D21=Data!$UT$5,Data!$UX$1,IF(D21=Data!$UT$6,Data!$UY$1,IF(D21=Data!$UT$7,Data!$UZ$1,IF(D21=Data!$UT$8,Data!$VA$1,IF(D21=Data!$UT$9,Data!$VB$1,IF(D21=Data!$UT$10,Data!$VC$1,IF(D21=Data!$UT$11,Data!$VD$1,IF(D21=Data!$UT$12,Data!$VD$22,IF(D21=Data!$UT$13,Data!$VD$22,IF(D21=Data!$UT$14,Data!$UU$13,IF(D21=Data!$UT$15,Data!$UV$13))))))))))))))</f>
        <v>0</v>
      </c>
      <c r="AJ21" s="239" t="e">
        <f>MATCH(D21,Data!$VL$27:$VL$40,0)</f>
        <v>#N/A</v>
      </c>
      <c r="AK21" s="239" t="e">
        <f>MATCH(E21,Data!$VM$26:$VQ$26,0)</f>
        <v>#N/A</v>
      </c>
      <c r="AL21" s="239" t="e">
        <f>INDEX(Data!$VM$27:$VQ$40,'Cellular Blinds'!AJ21,'Cellular Blinds'!AK21)</f>
        <v>#N/A</v>
      </c>
      <c r="AM21" s="239" t="e">
        <f>MATCH(D21, Data!$VL$2:$VL$16,0)</f>
        <v>#N/A</v>
      </c>
      <c r="AN21" s="239" t="e">
        <f>MATCH(E21,Data!$VM$1:$VQ$1,0)</f>
        <v>#N/A</v>
      </c>
      <c r="AO21" s="239" t="e">
        <f>INDEX(Data!$VM$2:$VQ$16,'Cellular Blinds'!AM21,'Cellular Blinds'!AN21)</f>
        <v>#N/A</v>
      </c>
      <c r="AP21" s="33" t="e">
        <f>VLOOKUP(P21,Data!$UW$14:$UX$28,2,FALSE)</f>
        <v>#N/A</v>
      </c>
      <c r="AQ21" s="239" t="e">
        <f>MATCH(E21, Data!$XS$2:$XS$6,0)</f>
        <v>#N/A</v>
      </c>
      <c r="AR21" s="239" t="e">
        <f>MATCH(F21,Data!$XT$1:$YR$1,0)</f>
        <v>#N/A</v>
      </c>
      <c r="AS21" s="239" t="e">
        <f>INDEX(Data!$XT$2:$YR$6,'Cellular Blinds'!AQ21,'Cellular Blinds'!AR21)</f>
        <v>#N/A</v>
      </c>
      <c r="AT21" s="239" t="b">
        <f>IF(D21=Data!$YU$2,Data!$YV$1,IF(D21=Data!$YU$3,Data!$YW$1,IF(D21=Data!$YU$4,Data!$YX$1,IF(D21=Data!$YU$5,Data!$YY$1,IF(D21=Data!$YU$6,Data!$YZ$1,IF(D21=Data!$YU$7,Data!$ZA$1,IF(D21=Data!$YU$8,Data!$ZB$1,IF(D21=Data!$YU$9,Data!$ZC$1,IF(D21=Data!$YU$10,Data!$ZD$1,IF(D21=Data!$YU$11,Data!$ZE$1,IF(D21=Data!$YU$12,Data!$ZE$1,IF(D21=Data!$YU$13,Data!$ZE$1,IF(D21=Data!$YU$14,Data!$ZG$11,IF(D21=Data!$YU$15,Data!$ZF$11))))))))))))))</f>
        <v>0</v>
      </c>
      <c r="AU21" s="239" t="str">
        <f>IF(D21="","",IF(E21=Data!$ZI$2,VLOOKUP(D21,Data!$ZK$2:$ZL$15,2,FALSE),IF(E21=Data!$ZI$1,VLOOKUP(D21,Data!$ZQ$2:$ZR$13,2,FALSE),IF(E21=Data!$ZI$3,VLOOKUP(D21,Data!$ZW$2:$ZX$13,2,FALSE),IF(E21=Data!$ZI$4,VLOOKUP(D21,Data!$AAC$2:$AAD$13,2,FALSE),IF(E21=Data!$ZI$5,VLOOKUP(D21,Data!$AAC$26:$AAD$37,2,FALSE)))))))</f>
        <v/>
      </c>
      <c r="AV21" s="251" t="str">
        <f t="shared" si="12"/>
        <v/>
      </c>
      <c r="AW21" s="251" t="str">
        <f t="shared" si="13"/>
        <v/>
      </c>
      <c r="AX21" s="239" t="str">
        <f t="shared" si="14"/>
        <v/>
      </c>
      <c r="BA21" s="33" t="str">
        <f t="shared" si="15"/>
        <v>FittingBoth</v>
      </c>
      <c r="BN21" s="476" t="str">
        <f t="shared" si="1"/>
        <v>UChannelNA</v>
      </c>
      <c r="BO21" s="476" t="e">
        <f t="shared" si="16"/>
        <v>#N/A</v>
      </c>
      <c r="BP21" s="476" t="str">
        <f t="shared" si="17"/>
        <v>No</v>
      </c>
      <c r="BQ21" s="476" t="str">
        <f t="shared" si="18"/>
        <v>No</v>
      </c>
      <c r="BR21" s="476" t="e">
        <f t="shared" si="2"/>
        <v>#N/A</v>
      </c>
      <c r="BS21" s="476" t="s">
        <v>2178</v>
      </c>
      <c r="BT21" s="476" t="s">
        <v>69</v>
      </c>
      <c r="BU21" s="172">
        <f t="shared" si="19"/>
        <v>2</v>
      </c>
      <c r="CB21" s="33" t="e">
        <f t="shared" si="3"/>
        <v>#N/A</v>
      </c>
      <c r="CC21" s="172" t="b">
        <f t="shared" si="4"/>
        <v>0</v>
      </c>
      <c r="CD21" s="172">
        <f t="shared" si="5"/>
        <v>0</v>
      </c>
      <c r="CE21" s="172">
        <f t="shared" si="6"/>
        <v>0</v>
      </c>
      <c r="CF21" s="172">
        <f t="shared" si="7"/>
        <v>0</v>
      </c>
      <c r="CG21" s="172">
        <f t="shared" si="8"/>
        <v>0</v>
      </c>
      <c r="CL21" s="239" t="str">
        <f>IF(D21="","",IF(E21=Data!$ZI$2,VLOOKUP(D21,Data!$ZK$2:$ZP$15,3,FALSE),IF(E21=Data!$ZI$1,VLOOKUP(D21,Data!$ZQ$2:$ZS$13,3,FALSE),IF(E21=Data!$ZI$3,VLOOKUP(D21,Data!$ZW$2:$AAB$13,3,FALSE),IF(E21=Data!$ZI$4,VLOOKUP(D21,Data!$AAC$2:$AAI$13,3,FALSE),IF(E21=Data!$ZI$5,VLOOKUP(D21,Data!$AAC$26:$AAI$37,3,FALSE)))))))</f>
        <v/>
      </c>
      <c r="CM21" s="251">
        <f t="shared" si="20"/>
        <v>0</v>
      </c>
      <c r="CN21" s="251" t="e">
        <f t="shared" si="21"/>
        <v>#VALUE!</v>
      </c>
      <c r="CO21" s="239" t="e">
        <f t="shared" si="22"/>
        <v>#VALUE!</v>
      </c>
      <c r="CP21" s="239" t="str">
        <f>IF(D21="","",IF(E21=Data!$ZI$2,VLOOKUP(D21,Data!$ZK$2:$ZN$15,4,FALSE),IF(E21=Data!$ZI$1,VLOOKUP(D21,Data!$ZQ$2:$ZT$13,4,FALSE),IF(E21=Data!$ZI$3,VLOOKUP(D21,Data!$ZW$2:$AAC$13,4,FALSE),IF(E21=Data!$ZI$4,VLOOKUP(D21,Data!$AAC$2:$AAJ$13,4,FALSE),IF(E21=Data!$ZI$5,VLOOKUP(D21,Data!$AAC$26:$AAJ$37,4,FALSE)))))))</f>
        <v/>
      </c>
      <c r="CQ21" s="251">
        <f t="shared" si="23"/>
        <v>0</v>
      </c>
      <c r="CR21" s="251" t="e">
        <f t="shared" si="24"/>
        <v>#VALUE!</v>
      </c>
      <c r="CS21" s="239" t="e">
        <f t="shared" si="25"/>
        <v>#VALUE!</v>
      </c>
      <c r="CT21" s="311">
        <f t="shared" si="26"/>
        <v>0</v>
      </c>
      <c r="CU21" s="239" t="str">
        <f>IF(D21="","",IF(E21=Data!$ZI$2,VLOOKUP(D21,Data!$ZK$2:$ZO$15,5,FALSE),IF(E21=Data!$ZI$1,VLOOKUP(D21,Data!$ZQ$2:$ZU$13,5,FALSE),IF(E21=Data!$ZI$3,VLOOKUP(D21,Data!$ZW$2:$AAD$13,5,FALSE),IF(E21=Data!$ZI$4,VLOOKUP(D21,Data!$AAC$2:$AAK$13,5,FALSE),IF(E21=Data!$ZI$5,VLOOKUP(D21,Data!$AAC$26:$AAK$37,5,FALSE)))))))</f>
        <v/>
      </c>
      <c r="CV21" s="251">
        <f t="shared" si="27"/>
        <v>0</v>
      </c>
      <c r="CW21" s="251" t="e">
        <f t="shared" si="28"/>
        <v>#VALUE!</v>
      </c>
      <c r="CX21" s="239" t="e">
        <f t="shared" si="29"/>
        <v>#VALUE!</v>
      </c>
      <c r="CY21" s="239" t="str">
        <f>IF(D21="","",IF(E21=Data!$ZI$2,VLOOKUP(D21,Data!$ZK$2:$ZP$15,6,FALSE),IF(E21=Data!$ZI$1,VLOOKUP(D21,Data!$ZQ$2:$ZV$13,6,FALSE),IF(E21=Data!$ZI$3,VLOOKUP(D21,Data!$ZW$2:$AAE$13,6,FALSE),IF(E21=Data!$ZI$4,VLOOKUP(D21,Data!$AAC$2:$AAL$13,6,FALSE),IF(E21=Data!$ZI$5,VLOOKUP(D21,Data!$AAC$26:$AAL$37,6,FALSE)))))))</f>
        <v/>
      </c>
      <c r="CZ21" s="251">
        <f t="shared" si="30"/>
        <v>0</v>
      </c>
      <c r="DA21" s="251" t="e">
        <f t="shared" si="31"/>
        <v>#VALUE!</v>
      </c>
      <c r="DB21" s="239" t="e">
        <f t="shared" si="32"/>
        <v>#VALUE!</v>
      </c>
      <c r="DC21" s="311">
        <f t="shared" si="33"/>
        <v>0</v>
      </c>
    </row>
    <row r="22" spans="1:107" ht="30" customHeight="1">
      <c r="A22" s="52">
        <v>15</v>
      </c>
      <c r="B22" s="17"/>
      <c r="C22" s="17"/>
      <c r="D22" s="13"/>
      <c r="E22" s="235"/>
      <c r="F22" s="235"/>
      <c r="G22" s="235"/>
      <c r="H22" s="235"/>
      <c r="I22" s="14"/>
      <c r="J22" s="14"/>
      <c r="K22" s="14"/>
      <c r="L22" s="14"/>
      <c r="M22" s="525"/>
      <c r="N22" s="526"/>
      <c r="O22" s="15"/>
      <c r="P22" s="15"/>
      <c r="Q22" s="15"/>
      <c r="R22" s="15"/>
      <c r="S22" s="15"/>
      <c r="T22" s="13" t="str">
        <f t="shared" si="9"/>
        <v/>
      </c>
      <c r="U22" s="253" t="str">
        <f t="shared" si="10"/>
        <v/>
      </c>
      <c r="V22" s="471"/>
      <c r="W22" s="482" t="b">
        <f t="shared" si="11"/>
        <v>0</v>
      </c>
      <c r="X22" s="230"/>
      <c r="Y22" s="253"/>
      <c r="AA22" s="33" t="str">
        <f>IF(SUM(--ISNUMBER(SEARCH({"Skylight"}, D22))),Data!$AJ$19,Data!$AJ$1)</f>
        <v>WindowType</v>
      </c>
      <c r="AB22" s="33" t="str">
        <f t="shared" si="0"/>
        <v>OK</v>
      </c>
      <c r="AE22" s="239" t="e">
        <f>MATCH(E22, Data!$TB$2:$TB$6,0)</f>
        <v>#N/A</v>
      </c>
      <c r="AF22" s="239" t="e">
        <f>MATCH(F22,Data!$TC$1:$UB$1,0)</f>
        <v>#N/A</v>
      </c>
      <c r="AG22" s="239" t="e">
        <f>INDEX(Data!$TC$2:$UB$6,'Cellular Blinds'!AE22,'Cellular Blinds'!AF22)</f>
        <v>#N/A</v>
      </c>
      <c r="AH22" s="33" t="e">
        <f>VLOOKUP(D22,Data!$RU$2:$RV$15,2,FALSE)</f>
        <v>#N/A</v>
      </c>
      <c r="AI22" s="33" t="b">
        <f>IF(D22=Data!$UT$2,Data!$UU$1,IF(D22=Data!$UT$3,Data!$UV$1,IF(D22=Data!$UT$4,Data!$UW$1,IF(D22=Data!$UT$5,Data!$UX$1,IF(D22=Data!$UT$6,Data!$UY$1,IF(D22=Data!$UT$7,Data!$UZ$1,IF(D22=Data!$UT$8,Data!$VA$1,IF(D22=Data!$UT$9,Data!$VB$1,IF(D22=Data!$UT$10,Data!$VC$1,IF(D22=Data!$UT$11,Data!$VD$1,IF(D22=Data!$UT$12,Data!$VD$22,IF(D22=Data!$UT$13,Data!$VD$22,IF(D22=Data!$UT$14,Data!$UU$13,IF(D22=Data!$UT$15,Data!$UV$13))))))))))))))</f>
        <v>0</v>
      </c>
      <c r="AJ22" s="239" t="e">
        <f>MATCH(D22,Data!$VL$27:$VL$40,0)</f>
        <v>#N/A</v>
      </c>
      <c r="AK22" s="239" t="e">
        <f>MATCH(E22,Data!$VM$26:$VQ$26,0)</f>
        <v>#N/A</v>
      </c>
      <c r="AL22" s="239" t="e">
        <f>INDEX(Data!$VM$27:$VQ$40,'Cellular Blinds'!AJ22,'Cellular Blinds'!AK22)</f>
        <v>#N/A</v>
      </c>
      <c r="AM22" s="239" t="e">
        <f>MATCH(D22, Data!$VL$2:$VL$16,0)</f>
        <v>#N/A</v>
      </c>
      <c r="AN22" s="239" t="e">
        <f>MATCH(E22,Data!$VM$1:$VQ$1,0)</f>
        <v>#N/A</v>
      </c>
      <c r="AO22" s="239" t="e">
        <f>INDEX(Data!$VM$2:$VQ$16,'Cellular Blinds'!AM22,'Cellular Blinds'!AN22)</f>
        <v>#N/A</v>
      </c>
      <c r="AP22" s="33" t="e">
        <f>VLOOKUP(P22,Data!$UW$14:$UX$28,2,FALSE)</f>
        <v>#N/A</v>
      </c>
      <c r="AQ22" s="239" t="e">
        <f>MATCH(E22, Data!$XS$2:$XS$6,0)</f>
        <v>#N/A</v>
      </c>
      <c r="AR22" s="239" t="e">
        <f>MATCH(F22,Data!$XT$1:$YR$1,0)</f>
        <v>#N/A</v>
      </c>
      <c r="AS22" s="239" t="e">
        <f>INDEX(Data!$XT$2:$YR$6,'Cellular Blinds'!AQ22,'Cellular Blinds'!AR22)</f>
        <v>#N/A</v>
      </c>
      <c r="AT22" s="239" t="b">
        <f>IF(D22=Data!$YU$2,Data!$YV$1,IF(D22=Data!$YU$3,Data!$YW$1,IF(D22=Data!$YU$4,Data!$YX$1,IF(D22=Data!$YU$5,Data!$YY$1,IF(D22=Data!$YU$6,Data!$YZ$1,IF(D22=Data!$YU$7,Data!$ZA$1,IF(D22=Data!$YU$8,Data!$ZB$1,IF(D22=Data!$YU$9,Data!$ZC$1,IF(D22=Data!$YU$10,Data!$ZD$1,IF(D22=Data!$YU$11,Data!$ZE$1,IF(D22=Data!$YU$12,Data!$ZE$1,IF(D22=Data!$YU$13,Data!$ZE$1,IF(D22=Data!$YU$14,Data!$ZG$11,IF(D22=Data!$YU$15,Data!$ZF$11))))))))))))))</f>
        <v>0</v>
      </c>
      <c r="AU22" s="239" t="str">
        <f>IF(D22="","",IF(E22=Data!$ZI$2,VLOOKUP(D22,Data!$ZK$2:$ZL$15,2,FALSE),IF(E22=Data!$ZI$1,VLOOKUP(D22,Data!$ZQ$2:$ZR$13,2,FALSE),IF(E22=Data!$ZI$3,VLOOKUP(D22,Data!$ZW$2:$ZX$13,2,FALSE),IF(E22=Data!$ZI$4,VLOOKUP(D22,Data!$AAC$2:$AAD$13,2,FALSE),IF(E22=Data!$ZI$5,VLOOKUP(D22,Data!$AAC$26:$AAD$37,2,FALSE)))))))</f>
        <v/>
      </c>
      <c r="AV22" s="251" t="str">
        <f t="shared" si="12"/>
        <v/>
      </c>
      <c r="AW22" s="251" t="str">
        <f t="shared" si="13"/>
        <v/>
      </c>
      <c r="AX22" s="239" t="str">
        <f t="shared" si="14"/>
        <v/>
      </c>
      <c r="BA22" s="33" t="str">
        <f t="shared" si="15"/>
        <v>FittingBoth</v>
      </c>
      <c r="BN22" s="476" t="str">
        <f t="shared" si="1"/>
        <v>UChannelNA</v>
      </c>
      <c r="BO22" s="476" t="e">
        <f t="shared" si="16"/>
        <v>#N/A</v>
      </c>
      <c r="BP22" s="476" t="str">
        <f t="shared" si="17"/>
        <v>No</v>
      </c>
      <c r="BQ22" s="476" t="str">
        <f t="shared" si="18"/>
        <v>No</v>
      </c>
      <c r="BR22" s="476" t="e">
        <f t="shared" si="2"/>
        <v>#N/A</v>
      </c>
      <c r="BU22" s="172">
        <f t="shared" si="19"/>
        <v>2</v>
      </c>
      <c r="CB22" s="33" t="e">
        <f t="shared" si="3"/>
        <v>#N/A</v>
      </c>
      <c r="CC22" s="172" t="b">
        <f t="shared" si="4"/>
        <v>0</v>
      </c>
      <c r="CD22" s="172">
        <f t="shared" si="5"/>
        <v>0</v>
      </c>
      <c r="CE22" s="172">
        <f t="shared" si="6"/>
        <v>0</v>
      </c>
      <c r="CF22" s="172">
        <f t="shared" si="7"/>
        <v>0</v>
      </c>
      <c r="CG22" s="172">
        <f t="shared" si="8"/>
        <v>0</v>
      </c>
      <c r="CL22" s="239" t="str">
        <f>IF(D22="","",IF(E22=Data!$ZI$2,VLOOKUP(D22,Data!$ZK$2:$ZP$15,3,FALSE),IF(E22=Data!$ZI$1,VLOOKUP(D22,Data!$ZQ$2:$ZS$13,3,FALSE),IF(E22=Data!$ZI$3,VLOOKUP(D22,Data!$ZW$2:$AAB$13,3,FALSE),IF(E22=Data!$ZI$4,VLOOKUP(D22,Data!$AAC$2:$AAI$13,3,FALSE),IF(E22=Data!$ZI$5,VLOOKUP(D22,Data!$AAC$26:$AAI$37,3,FALSE)))))))</f>
        <v/>
      </c>
      <c r="CM22" s="251">
        <f t="shared" si="20"/>
        <v>0</v>
      </c>
      <c r="CN22" s="251" t="e">
        <f t="shared" si="21"/>
        <v>#VALUE!</v>
      </c>
      <c r="CO22" s="239" t="e">
        <f t="shared" si="22"/>
        <v>#VALUE!</v>
      </c>
      <c r="CP22" s="239" t="str">
        <f>IF(D22="","",IF(E22=Data!$ZI$2,VLOOKUP(D22,Data!$ZK$2:$ZN$15,4,FALSE),IF(E22=Data!$ZI$1,VLOOKUP(D22,Data!$ZQ$2:$ZT$13,4,FALSE),IF(E22=Data!$ZI$3,VLOOKUP(D22,Data!$ZW$2:$AAC$13,4,FALSE),IF(E22=Data!$ZI$4,VLOOKUP(D22,Data!$AAC$2:$AAJ$13,4,FALSE),IF(E22=Data!$ZI$5,VLOOKUP(D22,Data!$AAC$26:$AAJ$37,4,FALSE)))))))</f>
        <v/>
      </c>
      <c r="CQ22" s="251">
        <f t="shared" si="23"/>
        <v>0</v>
      </c>
      <c r="CR22" s="251" t="e">
        <f t="shared" si="24"/>
        <v>#VALUE!</v>
      </c>
      <c r="CS22" s="239" t="e">
        <f t="shared" si="25"/>
        <v>#VALUE!</v>
      </c>
      <c r="CT22" s="311">
        <f t="shared" si="26"/>
        <v>0</v>
      </c>
      <c r="CU22" s="239" t="str">
        <f>IF(D22="","",IF(E22=Data!$ZI$2,VLOOKUP(D22,Data!$ZK$2:$ZO$15,5,FALSE),IF(E22=Data!$ZI$1,VLOOKUP(D22,Data!$ZQ$2:$ZU$13,5,FALSE),IF(E22=Data!$ZI$3,VLOOKUP(D22,Data!$ZW$2:$AAD$13,5,FALSE),IF(E22=Data!$ZI$4,VLOOKUP(D22,Data!$AAC$2:$AAK$13,5,FALSE),IF(E22=Data!$ZI$5,VLOOKUP(D22,Data!$AAC$26:$AAK$37,5,FALSE)))))))</f>
        <v/>
      </c>
      <c r="CV22" s="251">
        <f t="shared" si="27"/>
        <v>0</v>
      </c>
      <c r="CW22" s="251" t="e">
        <f t="shared" si="28"/>
        <v>#VALUE!</v>
      </c>
      <c r="CX22" s="239" t="e">
        <f t="shared" si="29"/>
        <v>#VALUE!</v>
      </c>
      <c r="CY22" s="239" t="str">
        <f>IF(D22="","",IF(E22=Data!$ZI$2,VLOOKUP(D22,Data!$ZK$2:$ZP$15,6,FALSE),IF(E22=Data!$ZI$1,VLOOKUP(D22,Data!$ZQ$2:$ZV$13,6,FALSE),IF(E22=Data!$ZI$3,VLOOKUP(D22,Data!$ZW$2:$AAE$13,6,FALSE),IF(E22=Data!$ZI$4,VLOOKUP(D22,Data!$AAC$2:$AAL$13,6,FALSE),IF(E22=Data!$ZI$5,VLOOKUP(D22,Data!$AAC$26:$AAL$37,6,FALSE)))))))</f>
        <v/>
      </c>
      <c r="CZ22" s="251">
        <f t="shared" si="30"/>
        <v>0</v>
      </c>
      <c r="DA22" s="251" t="e">
        <f t="shared" si="31"/>
        <v>#VALUE!</v>
      </c>
      <c r="DB22" s="239" t="e">
        <f t="shared" si="32"/>
        <v>#VALUE!</v>
      </c>
      <c r="DC22" s="311">
        <f t="shared" si="33"/>
        <v>0</v>
      </c>
    </row>
    <row r="23" spans="1:107" ht="30" customHeight="1">
      <c r="A23" s="52">
        <v>16</v>
      </c>
      <c r="B23" s="17"/>
      <c r="C23" s="17"/>
      <c r="D23" s="13"/>
      <c r="E23" s="235"/>
      <c r="F23" s="235"/>
      <c r="G23" s="235"/>
      <c r="H23" s="235"/>
      <c r="I23" s="14"/>
      <c r="J23" s="14"/>
      <c r="K23" s="14"/>
      <c r="L23" s="14"/>
      <c r="M23" s="525"/>
      <c r="N23" s="526"/>
      <c r="O23" s="15"/>
      <c r="P23" s="15"/>
      <c r="Q23" s="15"/>
      <c r="R23" s="15"/>
      <c r="S23" s="15"/>
      <c r="T23" s="13" t="str">
        <f t="shared" si="9"/>
        <v/>
      </c>
      <c r="U23" s="253" t="str">
        <f t="shared" si="10"/>
        <v/>
      </c>
      <c r="V23" s="471"/>
      <c r="W23" s="482" t="b">
        <f t="shared" si="11"/>
        <v>0</v>
      </c>
      <c r="X23" s="230"/>
      <c r="Y23" s="253"/>
      <c r="AA23" s="33" t="str">
        <f>IF(SUM(--ISNUMBER(SEARCH({"Skylight"}, D23))),Data!$AJ$19,Data!$AJ$1)</f>
        <v>WindowType</v>
      </c>
      <c r="AB23" s="33" t="str">
        <f t="shared" si="0"/>
        <v>OK</v>
      </c>
      <c r="AE23" s="239" t="e">
        <f>MATCH(E23, Data!$TB$2:$TB$6,0)</f>
        <v>#N/A</v>
      </c>
      <c r="AF23" s="239" t="e">
        <f>MATCH(F23,Data!$TC$1:$UB$1,0)</f>
        <v>#N/A</v>
      </c>
      <c r="AG23" s="239" t="e">
        <f>INDEX(Data!$TC$2:$UB$6,'Cellular Blinds'!AE23,'Cellular Blinds'!AF23)</f>
        <v>#N/A</v>
      </c>
      <c r="AH23" s="33" t="e">
        <f>VLOOKUP(D23,Data!$RU$2:$RV$15,2,FALSE)</f>
        <v>#N/A</v>
      </c>
      <c r="AI23" s="33" t="b">
        <f>IF(D23=Data!$UT$2,Data!$UU$1,IF(D23=Data!$UT$3,Data!$UV$1,IF(D23=Data!$UT$4,Data!$UW$1,IF(D23=Data!$UT$5,Data!$UX$1,IF(D23=Data!$UT$6,Data!$UY$1,IF(D23=Data!$UT$7,Data!$UZ$1,IF(D23=Data!$UT$8,Data!$VA$1,IF(D23=Data!$UT$9,Data!$VB$1,IF(D23=Data!$UT$10,Data!$VC$1,IF(D23=Data!$UT$11,Data!$VD$1,IF(D23=Data!$UT$12,Data!$VD$22,IF(D23=Data!$UT$13,Data!$VD$22,IF(D23=Data!$UT$14,Data!$UU$13,IF(D23=Data!$UT$15,Data!$UV$13))))))))))))))</f>
        <v>0</v>
      </c>
      <c r="AJ23" s="239" t="e">
        <f>MATCH(D23,Data!$VL$27:$VL$40,0)</f>
        <v>#N/A</v>
      </c>
      <c r="AK23" s="239" t="e">
        <f>MATCH(E23,Data!$VM$26:$VQ$26,0)</f>
        <v>#N/A</v>
      </c>
      <c r="AL23" s="239" t="e">
        <f>INDEX(Data!$VM$27:$VQ$40,'Cellular Blinds'!AJ23,'Cellular Blinds'!AK23)</f>
        <v>#N/A</v>
      </c>
      <c r="AM23" s="239" t="e">
        <f>MATCH(D23, Data!$VL$2:$VL$16,0)</f>
        <v>#N/A</v>
      </c>
      <c r="AN23" s="239" t="e">
        <f>MATCH(E23,Data!$VM$1:$VQ$1,0)</f>
        <v>#N/A</v>
      </c>
      <c r="AO23" s="239" t="e">
        <f>INDEX(Data!$VM$2:$VQ$16,'Cellular Blinds'!AM23,'Cellular Blinds'!AN23)</f>
        <v>#N/A</v>
      </c>
      <c r="AP23" s="33" t="e">
        <f>VLOOKUP(P23,Data!$UW$14:$UX$28,2,FALSE)</f>
        <v>#N/A</v>
      </c>
      <c r="AQ23" s="239" t="e">
        <f>MATCH(E23, Data!$XS$2:$XS$6,0)</f>
        <v>#N/A</v>
      </c>
      <c r="AR23" s="239" t="e">
        <f>MATCH(F23,Data!$XT$1:$YR$1,0)</f>
        <v>#N/A</v>
      </c>
      <c r="AS23" s="239" t="e">
        <f>INDEX(Data!$XT$2:$YR$6,'Cellular Blinds'!AQ23,'Cellular Blinds'!AR23)</f>
        <v>#N/A</v>
      </c>
      <c r="AT23" s="239" t="b">
        <f>IF(D23=Data!$YU$2,Data!$YV$1,IF(D23=Data!$YU$3,Data!$YW$1,IF(D23=Data!$YU$4,Data!$YX$1,IF(D23=Data!$YU$5,Data!$YY$1,IF(D23=Data!$YU$6,Data!$YZ$1,IF(D23=Data!$YU$7,Data!$ZA$1,IF(D23=Data!$YU$8,Data!$ZB$1,IF(D23=Data!$YU$9,Data!$ZC$1,IF(D23=Data!$YU$10,Data!$ZD$1,IF(D23=Data!$YU$11,Data!$ZE$1,IF(D23=Data!$YU$12,Data!$ZE$1,IF(D23=Data!$YU$13,Data!$ZE$1,IF(D23=Data!$YU$14,Data!$ZG$11,IF(D23=Data!$YU$15,Data!$ZF$11))))))))))))))</f>
        <v>0</v>
      </c>
      <c r="AU23" s="239" t="str">
        <f>IF(D23="","",IF(E23=Data!$ZI$2,VLOOKUP(D23,Data!$ZK$2:$ZL$15,2,FALSE),IF(E23=Data!$ZI$1,VLOOKUP(D23,Data!$ZQ$2:$ZR$13,2,FALSE),IF(E23=Data!$ZI$3,VLOOKUP(D23,Data!$ZW$2:$ZX$13,2,FALSE),IF(E23=Data!$ZI$4,VLOOKUP(D23,Data!$AAC$2:$AAD$13,2,FALSE),IF(E23=Data!$ZI$5,VLOOKUP(D23,Data!$AAC$26:$AAD$37,2,FALSE)))))))</f>
        <v/>
      </c>
      <c r="AV23" s="251" t="str">
        <f t="shared" si="12"/>
        <v/>
      </c>
      <c r="AW23" s="251" t="str">
        <f t="shared" si="13"/>
        <v/>
      </c>
      <c r="AX23" s="239" t="str">
        <f t="shared" si="14"/>
        <v/>
      </c>
      <c r="BA23" s="33" t="str">
        <f t="shared" si="15"/>
        <v>FittingBoth</v>
      </c>
      <c r="BN23" s="476" t="str">
        <f t="shared" si="1"/>
        <v>UChannelNA</v>
      </c>
      <c r="BO23" s="476" t="e">
        <f t="shared" si="16"/>
        <v>#N/A</v>
      </c>
      <c r="BP23" s="476" t="str">
        <f t="shared" si="17"/>
        <v>No</v>
      </c>
      <c r="BQ23" s="476" t="str">
        <f t="shared" si="18"/>
        <v>No</v>
      </c>
      <c r="BR23" s="476" t="e">
        <f t="shared" si="2"/>
        <v>#N/A</v>
      </c>
      <c r="BU23" s="172">
        <f t="shared" si="19"/>
        <v>2</v>
      </c>
      <c r="CB23" s="33" t="e">
        <f t="shared" si="3"/>
        <v>#N/A</v>
      </c>
      <c r="CC23" s="172" t="b">
        <f t="shared" si="4"/>
        <v>0</v>
      </c>
      <c r="CD23" s="172">
        <f t="shared" si="5"/>
        <v>0</v>
      </c>
      <c r="CE23" s="172">
        <f t="shared" si="6"/>
        <v>0</v>
      </c>
      <c r="CF23" s="172">
        <f t="shared" si="7"/>
        <v>0</v>
      </c>
      <c r="CG23" s="172">
        <f t="shared" si="8"/>
        <v>0</v>
      </c>
      <c r="CL23" s="239" t="str">
        <f>IF(D23="","",IF(E23=Data!$ZI$2,VLOOKUP(D23,Data!$ZK$2:$ZP$15,3,FALSE),IF(E23=Data!$ZI$1,VLOOKUP(D23,Data!$ZQ$2:$ZS$13,3,FALSE),IF(E23=Data!$ZI$3,VLOOKUP(D23,Data!$ZW$2:$AAB$13,3,FALSE),IF(E23=Data!$ZI$4,VLOOKUP(D23,Data!$AAC$2:$AAI$13,3,FALSE),IF(E23=Data!$ZI$5,VLOOKUP(D23,Data!$AAC$26:$AAI$37,3,FALSE)))))))</f>
        <v/>
      </c>
      <c r="CM23" s="251">
        <f t="shared" si="20"/>
        <v>0</v>
      </c>
      <c r="CN23" s="251" t="e">
        <f t="shared" si="21"/>
        <v>#VALUE!</v>
      </c>
      <c r="CO23" s="239" t="e">
        <f t="shared" si="22"/>
        <v>#VALUE!</v>
      </c>
      <c r="CP23" s="239" t="str">
        <f>IF(D23="","",IF(E23=Data!$ZI$2,VLOOKUP(D23,Data!$ZK$2:$ZN$15,4,FALSE),IF(E23=Data!$ZI$1,VLOOKUP(D23,Data!$ZQ$2:$ZT$13,4,FALSE),IF(E23=Data!$ZI$3,VLOOKUP(D23,Data!$ZW$2:$AAC$13,4,FALSE),IF(E23=Data!$ZI$4,VLOOKUP(D23,Data!$AAC$2:$AAJ$13,4,FALSE),IF(E23=Data!$ZI$5,VLOOKUP(D23,Data!$AAC$26:$AAJ$37,4,FALSE)))))))</f>
        <v/>
      </c>
      <c r="CQ23" s="251">
        <f t="shared" si="23"/>
        <v>0</v>
      </c>
      <c r="CR23" s="251" t="e">
        <f t="shared" si="24"/>
        <v>#VALUE!</v>
      </c>
      <c r="CS23" s="239" t="e">
        <f t="shared" si="25"/>
        <v>#VALUE!</v>
      </c>
      <c r="CT23" s="311">
        <f t="shared" si="26"/>
        <v>0</v>
      </c>
      <c r="CU23" s="239" t="str">
        <f>IF(D23="","",IF(E23=Data!$ZI$2,VLOOKUP(D23,Data!$ZK$2:$ZO$15,5,FALSE),IF(E23=Data!$ZI$1,VLOOKUP(D23,Data!$ZQ$2:$ZU$13,5,FALSE),IF(E23=Data!$ZI$3,VLOOKUP(D23,Data!$ZW$2:$AAD$13,5,FALSE),IF(E23=Data!$ZI$4,VLOOKUP(D23,Data!$AAC$2:$AAK$13,5,FALSE),IF(E23=Data!$ZI$5,VLOOKUP(D23,Data!$AAC$26:$AAK$37,5,FALSE)))))))</f>
        <v/>
      </c>
      <c r="CV23" s="251">
        <f t="shared" si="27"/>
        <v>0</v>
      </c>
      <c r="CW23" s="251" t="e">
        <f t="shared" si="28"/>
        <v>#VALUE!</v>
      </c>
      <c r="CX23" s="239" t="e">
        <f t="shared" si="29"/>
        <v>#VALUE!</v>
      </c>
      <c r="CY23" s="239" t="str">
        <f>IF(D23="","",IF(E23=Data!$ZI$2,VLOOKUP(D23,Data!$ZK$2:$ZP$15,6,FALSE),IF(E23=Data!$ZI$1,VLOOKUP(D23,Data!$ZQ$2:$ZV$13,6,FALSE),IF(E23=Data!$ZI$3,VLOOKUP(D23,Data!$ZW$2:$AAE$13,6,FALSE),IF(E23=Data!$ZI$4,VLOOKUP(D23,Data!$AAC$2:$AAL$13,6,FALSE),IF(E23=Data!$ZI$5,VLOOKUP(D23,Data!$AAC$26:$AAL$37,6,FALSE)))))))</f>
        <v/>
      </c>
      <c r="CZ23" s="251">
        <f t="shared" si="30"/>
        <v>0</v>
      </c>
      <c r="DA23" s="251" t="e">
        <f t="shared" si="31"/>
        <v>#VALUE!</v>
      </c>
      <c r="DB23" s="239" t="e">
        <f t="shared" si="32"/>
        <v>#VALUE!</v>
      </c>
      <c r="DC23" s="311">
        <f t="shared" si="33"/>
        <v>0</v>
      </c>
    </row>
    <row r="24" spans="1:107" ht="30" customHeight="1">
      <c r="A24" s="52">
        <v>17</v>
      </c>
      <c r="B24" s="20"/>
      <c r="C24" s="17"/>
      <c r="D24" s="13"/>
      <c r="E24" s="235"/>
      <c r="F24" s="235"/>
      <c r="G24" s="235"/>
      <c r="H24" s="235"/>
      <c r="I24" s="14"/>
      <c r="J24" s="14"/>
      <c r="K24" s="14"/>
      <c r="L24" s="14"/>
      <c r="M24" s="525"/>
      <c r="N24" s="526"/>
      <c r="O24" s="15"/>
      <c r="P24" s="15"/>
      <c r="Q24" s="15"/>
      <c r="R24" s="15"/>
      <c r="S24" s="15"/>
      <c r="T24" s="13" t="str">
        <f t="shared" si="9"/>
        <v/>
      </c>
      <c r="U24" s="253" t="str">
        <f t="shared" si="10"/>
        <v/>
      </c>
      <c r="V24" s="471"/>
      <c r="W24" s="482" t="b">
        <f t="shared" si="11"/>
        <v>0</v>
      </c>
      <c r="X24" s="230"/>
      <c r="Y24" s="253"/>
      <c r="AA24" s="33" t="str">
        <f>IF(SUM(--ISNUMBER(SEARCH({"Skylight"}, D24))),Data!$AJ$19,Data!$AJ$1)</f>
        <v>WindowType</v>
      </c>
      <c r="AB24" s="33" t="str">
        <f t="shared" si="0"/>
        <v>OK</v>
      </c>
      <c r="AE24" s="239" t="e">
        <f>MATCH(E24, Data!$TB$2:$TB$6,0)</f>
        <v>#N/A</v>
      </c>
      <c r="AF24" s="239" t="e">
        <f>MATCH(F24,Data!$TC$1:$UB$1,0)</f>
        <v>#N/A</v>
      </c>
      <c r="AG24" s="239" t="e">
        <f>INDEX(Data!$TC$2:$UB$6,'Cellular Blinds'!AE24,'Cellular Blinds'!AF24)</f>
        <v>#N/A</v>
      </c>
      <c r="AH24" s="33" t="e">
        <f>VLOOKUP(D24,Data!$RU$2:$RV$15,2,FALSE)</f>
        <v>#N/A</v>
      </c>
      <c r="AI24" s="33" t="b">
        <f>IF(D24=Data!$UT$2,Data!$UU$1,IF(D24=Data!$UT$3,Data!$UV$1,IF(D24=Data!$UT$4,Data!$UW$1,IF(D24=Data!$UT$5,Data!$UX$1,IF(D24=Data!$UT$6,Data!$UY$1,IF(D24=Data!$UT$7,Data!$UZ$1,IF(D24=Data!$UT$8,Data!$VA$1,IF(D24=Data!$UT$9,Data!$VB$1,IF(D24=Data!$UT$10,Data!$VC$1,IF(D24=Data!$UT$11,Data!$VD$1,IF(D24=Data!$UT$12,Data!$VD$22,IF(D24=Data!$UT$13,Data!$VD$22,IF(D24=Data!$UT$14,Data!$UU$13,IF(D24=Data!$UT$15,Data!$UV$13))))))))))))))</f>
        <v>0</v>
      </c>
      <c r="AJ24" s="239" t="e">
        <f>MATCH(D24,Data!$VL$27:$VL$40,0)</f>
        <v>#N/A</v>
      </c>
      <c r="AK24" s="239" t="e">
        <f>MATCH(E24,Data!$VM$26:$VQ$26,0)</f>
        <v>#N/A</v>
      </c>
      <c r="AL24" s="239" t="e">
        <f>INDEX(Data!$VM$27:$VQ$40,'Cellular Blinds'!AJ24,'Cellular Blinds'!AK24)</f>
        <v>#N/A</v>
      </c>
      <c r="AM24" s="239" t="e">
        <f>MATCH(D24, Data!$VL$2:$VL$16,0)</f>
        <v>#N/A</v>
      </c>
      <c r="AN24" s="239" t="e">
        <f>MATCH(E24,Data!$VM$1:$VQ$1,0)</f>
        <v>#N/A</v>
      </c>
      <c r="AO24" s="239" t="e">
        <f>INDEX(Data!$VM$2:$VQ$16,'Cellular Blinds'!AM24,'Cellular Blinds'!AN24)</f>
        <v>#N/A</v>
      </c>
      <c r="AP24" s="33" t="e">
        <f>VLOOKUP(P24,Data!$UW$14:$UX$28,2,FALSE)</f>
        <v>#N/A</v>
      </c>
      <c r="AQ24" s="239" t="e">
        <f>MATCH(E24, Data!$XS$2:$XS$6,0)</f>
        <v>#N/A</v>
      </c>
      <c r="AR24" s="239" t="e">
        <f>MATCH(F24,Data!$XT$1:$YR$1,0)</f>
        <v>#N/A</v>
      </c>
      <c r="AS24" s="239" t="e">
        <f>INDEX(Data!$XT$2:$YR$6,'Cellular Blinds'!AQ24,'Cellular Blinds'!AR24)</f>
        <v>#N/A</v>
      </c>
      <c r="AT24" s="239" t="b">
        <f>IF(D24=Data!$YU$2,Data!$YV$1,IF(D24=Data!$YU$3,Data!$YW$1,IF(D24=Data!$YU$4,Data!$YX$1,IF(D24=Data!$YU$5,Data!$YY$1,IF(D24=Data!$YU$6,Data!$YZ$1,IF(D24=Data!$YU$7,Data!$ZA$1,IF(D24=Data!$YU$8,Data!$ZB$1,IF(D24=Data!$YU$9,Data!$ZC$1,IF(D24=Data!$YU$10,Data!$ZD$1,IF(D24=Data!$YU$11,Data!$ZE$1,IF(D24=Data!$YU$12,Data!$ZE$1,IF(D24=Data!$YU$13,Data!$ZE$1,IF(D24=Data!$YU$14,Data!$ZG$11,IF(D24=Data!$YU$15,Data!$ZF$11))))))))))))))</f>
        <v>0</v>
      </c>
      <c r="AU24" s="239" t="str">
        <f>IF(D24="","",IF(E24=Data!$ZI$2,VLOOKUP(D24,Data!$ZK$2:$ZL$15,2,FALSE),IF(E24=Data!$ZI$1,VLOOKUP(D24,Data!$ZQ$2:$ZR$13,2,FALSE),IF(E24=Data!$ZI$3,VLOOKUP(D24,Data!$ZW$2:$ZX$13,2,FALSE),IF(E24=Data!$ZI$4,VLOOKUP(D24,Data!$AAC$2:$AAD$13,2,FALSE),IF(E24=Data!$ZI$5,VLOOKUP(D24,Data!$AAC$26:$AAD$37,2,FALSE)))))))</f>
        <v/>
      </c>
      <c r="AV24" s="251" t="str">
        <f t="shared" si="12"/>
        <v/>
      </c>
      <c r="AW24" s="251" t="str">
        <f t="shared" si="13"/>
        <v/>
      </c>
      <c r="AX24" s="239" t="str">
        <f t="shared" si="14"/>
        <v/>
      </c>
      <c r="BA24" s="33" t="str">
        <f t="shared" si="15"/>
        <v>FittingBoth</v>
      </c>
      <c r="BN24" s="476" t="str">
        <f t="shared" si="1"/>
        <v>UChannelNA</v>
      </c>
      <c r="BO24" s="476" t="e">
        <f t="shared" si="16"/>
        <v>#N/A</v>
      </c>
      <c r="BP24" s="476" t="str">
        <f t="shared" si="17"/>
        <v>No</v>
      </c>
      <c r="BQ24" s="476" t="str">
        <f t="shared" si="18"/>
        <v>No</v>
      </c>
      <c r="BR24" s="476" t="e">
        <f t="shared" si="2"/>
        <v>#N/A</v>
      </c>
      <c r="BU24" s="172">
        <f t="shared" si="19"/>
        <v>2</v>
      </c>
      <c r="CB24" s="33" t="e">
        <f t="shared" si="3"/>
        <v>#N/A</v>
      </c>
      <c r="CC24" s="172" t="b">
        <f t="shared" si="4"/>
        <v>0</v>
      </c>
      <c r="CD24" s="172">
        <f t="shared" si="5"/>
        <v>0</v>
      </c>
      <c r="CE24" s="172">
        <f t="shared" si="6"/>
        <v>0</v>
      </c>
      <c r="CF24" s="172">
        <f t="shared" si="7"/>
        <v>0</v>
      </c>
      <c r="CG24" s="172">
        <f t="shared" si="8"/>
        <v>0</v>
      </c>
      <c r="CL24" s="239" t="str">
        <f>IF(D24="","",IF(E24=Data!$ZI$2,VLOOKUP(D24,Data!$ZK$2:$ZP$15,3,FALSE),IF(E24=Data!$ZI$1,VLOOKUP(D24,Data!$ZQ$2:$ZS$13,3,FALSE),IF(E24=Data!$ZI$3,VLOOKUP(D24,Data!$ZW$2:$AAB$13,3,FALSE),IF(E24=Data!$ZI$4,VLOOKUP(D24,Data!$AAC$2:$AAI$13,3,FALSE),IF(E24=Data!$ZI$5,VLOOKUP(D24,Data!$AAC$26:$AAI$37,3,FALSE)))))))</f>
        <v/>
      </c>
      <c r="CM24" s="251">
        <f t="shared" si="20"/>
        <v>0</v>
      </c>
      <c r="CN24" s="251" t="e">
        <f t="shared" si="21"/>
        <v>#VALUE!</v>
      </c>
      <c r="CO24" s="239" t="e">
        <f t="shared" si="22"/>
        <v>#VALUE!</v>
      </c>
      <c r="CP24" s="239" t="str">
        <f>IF(D24="","",IF(E24=Data!$ZI$2,VLOOKUP(D24,Data!$ZK$2:$ZN$15,4,FALSE),IF(E24=Data!$ZI$1,VLOOKUP(D24,Data!$ZQ$2:$ZT$13,4,FALSE),IF(E24=Data!$ZI$3,VLOOKUP(D24,Data!$ZW$2:$AAC$13,4,FALSE),IF(E24=Data!$ZI$4,VLOOKUP(D24,Data!$AAC$2:$AAJ$13,4,FALSE),IF(E24=Data!$ZI$5,VLOOKUP(D24,Data!$AAC$26:$AAJ$37,4,FALSE)))))))</f>
        <v/>
      </c>
      <c r="CQ24" s="251">
        <f t="shared" si="23"/>
        <v>0</v>
      </c>
      <c r="CR24" s="251" t="e">
        <f t="shared" si="24"/>
        <v>#VALUE!</v>
      </c>
      <c r="CS24" s="239" t="e">
        <f t="shared" si="25"/>
        <v>#VALUE!</v>
      </c>
      <c r="CT24" s="311">
        <f t="shared" si="26"/>
        <v>0</v>
      </c>
      <c r="CU24" s="239" t="str">
        <f>IF(D24="","",IF(E24=Data!$ZI$2,VLOOKUP(D24,Data!$ZK$2:$ZO$15,5,FALSE),IF(E24=Data!$ZI$1,VLOOKUP(D24,Data!$ZQ$2:$ZU$13,5,FALSE),IF(E24=Data!$ZI$3,VLOOKUP(D24,Data!$ZW$2:$AAD$13,5,FALSE),IF(E24=Data!$ZI$4,VLOOKUP(D24,Data!$AAC$2:$AAK$13,5,FALSE),IF(E24=Data!$ZI$5,VLOOKUP(D24,Data!$AAC$26:$AAK$37,5,FALSE)))))))</f>
        <v/>
      </c>
      <c r="CV24" s="251">
        <f t="shared" si="27"/>
        <v>0</v>
      </c>
      <c r="CW24" s="251" t="e">
        <f t="shared" si="28"/>
        <v>#VALUE!</v>
      </c>
      <c r="CX24" s="239" t="e">
        <f t="shared" si="29"/>
        <v>#VALUE!</v>
      </c>
      <c r="CY24" s="239" t="str">
        <f>IF(D24="","",IF(E24=Data!$ZI$2,VLOOKUP(D24,Data!$ZK$2:$ZP$15,6,FALSE),IF(E24=Data!$ZI$1,VLOOKUP(D24,Data!$ZQ$2:$ZV$13,6,FALSE),IF(E24=Data!$ZI$3,VLOOKUP(D24,Data!$ZW$2:$AAE$13,6,FALSE),IF(E24=Data!$ZI$4,VLOOKUP(D24,Data!$AAC$2:$AAL$13,6,FALSE),IF(E24=Data!$ZI$5,VLOOKUP(D24,Data!$AAC$26:$AAL$37,6,FALSE)))))))</f>
        <v/>
      </c>
      <c r="CZ24" s="251">
        <f t="shared" si="30"/>
        <v>0</v>
      </c>
      <c r="DA24" s="251" t="e">
        <f t="shared" si="31"/>
        <v>#VALUE!</v>
      </c>
      <c r="DB24" s="239" t="e">
        <f t="shared" si="32"/>
        <v>#VALUE!</v>
      </c>
      <c r="DC24" s="311">
        <f t="shared" si="33"/>
        <v>0</v>
      </c>
    </row>
    <row r="25" spans="1:107" ht="30" customHeight="1">
      <c r="A25" s="52">
        <v>18</v>
      </c>
      <c r="B25" s="17"/>
      <c r="C25" s="17"/>
      <c r="D25" s="13"/>
      <c r="E25" s="235"/>
      <c r="F25" s="235"/>
      <c r="G25" s="235"/>
      <c r="H25" s="235"/>
      <c r="I25" s="14"/>
      <c r="J25" s="14"/>
      <c r="K25" s="14"/>
      <c r="L25" s="14"/>
      <c r="M25" s="525"/>
      <c r="N25" s="526"/>
      <c r="O25" s="15"/>
      <c r="P25" s="15"/>
      <c r="Q25" s="15"/>
      <c r="R25" s="15"/>
      <c r="S25" s="15"/>
      <c r="T25" s="13" t="str">
        <f t="shared" si="9"/>
        <v/>
      </c>
      <c r="U25" s="253" t="str">
        <f t="shared" si="10"/>
        <v/>
      </c>
      <c r="V25" s="471"/>
      <c r="W25" s="482" t="b">
        <f t="shared" si="11"/>
        <v>0</v>
      </c>
      <c r="X25" s="230"/>
      <c r="Y25" s="253"/>
      <c r="AA25" s="33" t="str">
        <f>IF(SUM(--ISNUMBER(SEARCH({"Skylight"}, D25))),Data!$AJ$19,Data!$AJ$1)</f>
        <v>WindowType</v>
      </c>
      <c r="AB25" s="33" t="str">
        <f t="shared" si="0"/>
        <v>OK</v>
      </c>
      <c r="AE25" s="239" t="e">
        <f>MATCH(E25, Data!$TB$2:$TB$6,0)</f>
        <v>#N/A</v>
      </c>
      <c r="AF25" s="239" t="e">
        <f>MATCH(F25,Data!$TC$1:$UB$1,0)</f>
        <v>#N/A</v>
      </c>
      <c r="AG25" s="239" t="e">
        <f>INDEX(Data!$TC$2:$UB$6,'Cellular Blinds'!AE25,'Cellular Blinds'!AF25)</f>
        <v>#N/A</v>
      </c>
      <c r="AH25" s="33" t="e">
        <f>VLOOKUP(D25,Data!$RU$2:$RV$15,2,FALSE)</f>
        <v>#N/A</v>
      </c>
      <c r="AI25" s="33" t="b">
        <f>IF(D25=Data!$UT$2,Data!$UU$1,IF(D25=Data!$UT$3,Data!$UV$1,IF(D25=Data!$UT$4,Data!$UW$1,IF(D25=Data!$UT$5,Data!$UX$1,IF(D25=Data!$UT$6,Data!$UY$1,IF(D25=Data!$UT$7,Data!$UZ$1,IF(D25=Data!$UT$8,Data!$VA$1,IF(D25=Data!$UT$9,Data!$VB$1,IF(D25=Data!$UT$10,Data!$VC$1,IF(D25=Data!$UT$11,Data!$VD$1,IF(D25=Data!$UT$12,Data!$VD$22,IF(D25=Data!$UT$13,Data!$VD$22,IF(D25=Data!$UT$14,Data!$UU$13,IF(D25=Data!$UT$15,Data!$UV$13))))))))))))))</f>
        <v>0</v>
      </c>
      <c r="AJ25" s="239" t="e">
        <f>MATCH(D25,Data!$VL$27:$VL$40,0)</f>
        <v>#N/A</v>
      </c>
      <c r="AK25" s="239" t="e">
        <f>MATCH(E25,Data!$VM$26:$VQ$26,0)</f>
        <v>#N/A</v>
      </c>
      <c r="AL25" s="239" t="e">
        <f>INDEX(Data!$VM$27:$VQ$40,'Cellular Blinds'!AJ25,'Cellular Blinds'!AK25)</f>
        <v>#N/A</v>
      </c>
      <c r="AM25" s="239" t="e">
        <f>MATCH(D25, Data!$VL$2:$VL$16,0)</f>
        <v>#N/A</v>
      </c>
      <c r="AN25" s="239" t="e">
        <f>MATCH(E25,Data!$VM$1:$VQ$1,0)</f>
        <v>#N/A</v>
      </c>
      <c r="AO25" s="239" t="e">
        <f>INDEX(Data!$VM$2:$VQ$16,'Cellular Blinds'!AM25,'Cellular Blinds'!AN25)</f>
        <v>#N/A</v>
      </c>
      <c r="AP25" s="33" t="e">
        <f>VLOOKUP(P25,Data!$UW$14:$UX$28,2,FALSE)</f>
        <v>#N/A</v>
      </c>
      <c r="AQ25" s="239" t="e">
        <f>MATCH(E25, Data!$XS$2:$XS$6,0)</f>
        <v>#N/A</v>
      </c>
      <c r="AR25" s="239" t="e">
        <f>MATCH(F25,Data!$XT$1:$YR$1,0)</f>
        <v>#N/A</v>
      </c>
      <c r="AS25" s="239" t="e">
        <f>INDEX(Data!$XT$2:$YR$6,'Cellular Blinds'!AQ25,'Cellular Blinds'!AR25)</f>
        <v>#N/A</v>
      </c>
      <c r="AT25" s="239" t="b">
        <f>IF(D25=Data!$YU$2,Data!$YV$1,IF(D25=Data!$YU$3,Data!$YW$1,IF(D25=Data!$YU$4,Data!$YX$1,IF(D25=Data!$YU$5,Data!$YY$1,IF(D25=Data!$YU$6,Data!$YZ$1,IF(D25=Data!$YU$7,Data!$ZA$1,IF(D25=Data!$YU$8,Data!$ZB$1,IF(D25=Data!$YU$9,Data!$ZC$1,IF(D25=Data!$YU$10,Data!$ZD$1,IF(D25=Data!$YU$11,Data!$ZE$1,IF(D25=Data!$YU$12,Data!$ZE$1,IF(D25=Data!$YU$13,Data!$ZE$1,IF(D25=Data!$YU$14,Data!$ZG$11,IF(D25=Data!$YU$15,Data!$ZF$11))))))))))))))</f>
        <v>0</v>
      </c>
      <c r="AU25" s="239" t="str">
        <f>IF(D25="","",IF(E25=Data!$ZI$2,VLOOKUP(D25,Data!$ZK$2:$ZL$15,2,FALSE),IF(E25=Data!$ZI$1,VLOOKUP(D25,Data!$ZQ$2:$ZR$13,2,FALSE),IF(E25=Data!$ZI$3,VLOOKUP(D25,Data!$ZW$2:$ZX$13,2,FALSE),IF(E25=Data!$ZI$4,VLOOKUP(D25,Data!$AAC$2:$AAD$13,2,FALSE),IF(E25=Data!$ZI$5,VLOOKUP(D25,Data!$AAC$26:$AAD$37,2,FALSE)))))))</f>
        <v/>
      </c>
      <c r="AV25" s="251" t="str">
        <f t="shared" si="12"/>
        <v/>
      </c>
      <c r="AW25" s="251" t="str">
        <f t="shared" si="13"/>
        <v/>
      </c>
      <c r="AX25" s="239" t="str">
        <f t="shared" si="14"/>
        <v/>
      </c>
      <c r="BA25" s="33" t="str">
        <f t="shared" si="15"/>
        <v>FittingBoth</v>
      </c>
      <c r="BN25" s="476" t="str">
        <f t="shared" si="1"/>
        <v>UChannelNA</v>
      </c>
      <c r="BO25" s="476" t="e">
        <f t="shared" si="16"/>
        <v>#N/A</v>
      </c>
      <c r="BP25" s="476" t="str">
        <f t="shared" si="17"/>
        <v>No</v>
      </c>
      <c r="BQ25" s="476" t="str">
        <f t="shared" si="18"/>
        <v>No</v>
      </c>
      <c r="BR25" s="476" t="e">
        <f t="shared" si="2"/>
        <v>#N/A</v>
      </c>
      <c r="BU25" s="172">
        <f t="shared" si="19"/>
        <v>2</v>
      </c>
      <c r="CB25" s="33" t="e">
        <f t="shared" si="3"/>
        <v>#N/A</v>
      </c>
      <c r="CC25" s="172" t="b">
        <f t="shared" si="4"/>
        <v>0</v>
      </c>
      <c r="CD25" s="172">
        <f t="shared" si="5"/>
        <v>0</v>
      </c>
      <c r="CE25" s="172">
        <f t="shared" si="6"/>
        <v>0</v>
      </c>
      <c r="CF25" s="172">
        <f t="shared" si="7"/>
        <v>0</v>
      </c>
      <c r="CG25" s="172">
        <f t="shared" si="8"/>
        <v>0</v>
      </c>
      <c r="CL25" s="239" t="str">
        <f>IF(D25="","",IF(E25=Data!$ZI$2,VLOOKUP(D25,Data!$ZK$2:$ZP$15,3,FALSE),IF(E25=Data!$ZI$1,VLOOKUP(D25,Data!$ZQ$2:$ZS$13,3,FALSE),IF(E25=Data!$ZI$3,VLOOKUP(D25,Data!$ZW$2:$AAB$13,3,FALSE),IF(E25=Data!$ZI$4,VLOOKUP(D25,Data!$AAC$2:$AAI$13,3,FALSE),IF(E25=Data!$ZI$5,VLOOKUP(D25,Data!$AAC$26:$AAI$37,3,FALSE)))))))</f>
        <v/>
      </c>
      <c r="CM25" s="251">
        <f t="shared" si="20"/>
        <v>0</v>
      </c>
      <c r="CN25" s="251" t="e">
        <f t="shared" si="21"/>
        <v>#VALUE!</v>
      </c>
      <c r="CO25" s="239" t="e">
        <f t="shared" si="22"/>
        <v>#VALUE!</v>
      </c>
      <c r="CP25" s="239" t="str">
        <f>IF(D25="","",IF(E25=Data!$ZI$2,VLOOKUP(D25,Data!$ZK$2:$ZN$15,4,FALSE),IF(E25=Data!$ZI$1,VLOOKUP(D25,Data!$ZQ$2:$ZT$13,4,FALSE),IF(E25=Data!$ZI$3,VLOOKUP(D25,Data!$ZW$2:$AAC$13,4,FALSE),IF(E25=Data!$ZI$4,VLOOKUP(D25,Data!$AAC$2:$AAJ$13,4,FALSE),IF(E25=Data!$ZI$5,VLOOKUP(D25,Data!$AAC$26:$AAJ$37,4,FALSE)))))))</f>
        <v/>
      </c>
      <c r="CQ25" s="251">
        <f t="shared" si="23"/>
        <v>0</v>
      </c>
      <c r="CR25" s="251" t="e">
        <f t="shared" si="24"/>
        <v>#VALUE!</v>
      </c>
      <c r="CS25" s="239" t="e">
        <f t="shared" si="25"/>
        <v>#VALUE!</v>
      </c>
      <c r="CT25" s="311">
        <f t="shared" si="26"/>
        <v>0</v>
      </c>
      <c r="CU25" s="239" t="str">
        <f>IF(D25="","",IF(E25=Data!$ZI$2,VLOOKUP(D25,Data!$ZK$2:$ZO$15,5,FALSE),IF(E25=Data!$ZI$1,VLOOKUP(D25,Data!$ZQ$2:$ZU$13,5,FALSE),IF(E25=Data!$ZI$3,VLOOKUP(D25,Data!$ZW$2:$AAD$13,5,FALSE),IF(E25=Data!$ZI$4,VLOOKUP(D25,Data!$AAC$2:$AAK$13,5,FALSE),IF(E25=Data!$ZI$5,VLOOKUP(D25,Data!$AAC$26:$AAK$37,5,FALSE)))))))</f>
        <v/>
      </c>
      <c r="CV25" s="251">
        <f t="shared" si="27"/>
        <v>0</v>
      </c>
      <c r="CW25" s="251" t="e">
        <f t="shared" si="28"/>
        <v>#VALUE!</v>
      </c>
      <c r="CX25" s="239" t="e">
        <f t="shared" si="29"/>
        <v>#VALUE!</v>
      </c>
      <c r="CY25" s="239" t="str">
        <f>IF(D25="","",IF(E25=Data!$ZI$2,VLOOKUP(D25,Data!$ZK$2:$ZP$15,6,FALSE),IF(E25=Data!$ZI$1,VLOOKUP(D25,Data!$ZQ$2:$ZV$13,6,FALSE),IF(E25=Data!$ZI$3,VLOOKUP(D25,Data!$ZW$2:$AAE$13,6,FALSE),IF(E25=Data!$ZI$4,VLOOKUP(D25,Data!$AAC$2:$AAL$13,6,FALSE),IF(E25=Data!$ZI$5,VLOOKUP(D25,Data!$AAC$26:$AAL$37,6,FALSE)))))))</f>
        <v/>
      </c>
      <c r="CZ25" s="251">
        <f t="shared" si="30"/>
        <v>0</v>
      </c>
      <c r="DA25" s="251" t="e">
        <f t="shared" si="31"/>
        <v>#VALUE!</v>
      </c>
      <c r="DB25" s="239" t="e">
        <f t="shared" si="32"/>
        <v>#VALUE!</v>
      </c>
      <c r="DC25" s="311">
        <f t="shared" si="33"/>
        <v>0</v>
      </c>
    </row>
    <row r="26" spans="1:107" ht="30" customHeight="1">
      <c r="A26" s="52">
        <v>19</v>
      </c>
      <c r="B26" s="17"/>
      <c r="C26" s="17"/>
      <c r="D26" s="13"/>
      <c r="E26" s="235"/>
      <c r="F26" s="235"/>
      <c r="G26" s="235"/>
      <c r="H26" s="235"/>
      <c r="I26" s="14"/>
      <c r="J26" s="14"/>
      <c r="K26" s="14"/>
      <c r="L26" s="14"/>
      <c r="M26" s="525"/>
      <c r="N26" s="526"/>
      <c r="O26" s="15"/>
      <c r="P26" s="15"/>
      <c r="Q26" s="15"/>
      <c r="R26" s="15"/>
      <c r="S26" s="15"/>
      <c r="T26" s="13" t="str">
        <f t="shared" si="9"/>
        <v/>
      </c>
      <c r="U26" s="253" t="str">
        <f t="shared" si="10"/>
        <v/>
      </c>
      <c r="V26" s="471"/>
      <c r="W26" s="482" t="b">
        <f t="shared" si="11"/>
        <v>0</v>
      </c>
      <c r="X26" s="230"/>
      <c r="Y26" s="253"/>
      <c r="AA26" s="33" t="str">
        <f>IF(SUM(--ISNUMBER(SEARCH({"Skylight"}, D26))),Data!$AJ$19,Data!$AJ$1)</f>
        <v>WindowType</v>
      </c>
      <c r="AB26" s="33" t="str">
        <f t="shared" si="0"/>
        <v>OK</v>
      </c>
      <c r="AE26" s="239" t="e">
        <f>MATCH(E26, Data!$TB$2:$TB$6,0)</f>
        <v>#N/A</v>
      </c>
      <c r="AF26" s="239" t="e">
        <f>MATCH(F26,Data!$TC$1:$UB$1,0)</f>
        <v>#N/A</v>
      </c>
      <c r="AG26" s="239" t="e">
        <f>INDEX(Data!$TC$2:$UB$6,'Cellular Blinds'!AE26,'Cellular Blinds'!AF26)</f>
        <v>#N/A</v>
      </c>
      <c r="AH26" s="33" t="e">
        <f>VLOOKUP(D26,Data!$RU$2:$RV$15,2,FALSE)</f>
        <v>#N/A</v>
      </c>
      <c r="AI26" s="33" t="b">
        <f>IF(D26=Data!$UT$2,Data!$UU$1,IF(D26=Data!$UT$3,Data!$UV$1,IF(D26=Data!$UT$4,Data!$UW$1,IF(D26=Data!$UT$5,Data!$UX$1,IF(D26=Data!$UT$6,Data!$UY$1,IF(D26=Data!$UT$7,Data!$UZ$1,IF(D26=Data!$UT$8,Data!$VA$1,IF(D26=Data!$UT$9,Data!$VB$1,IF(D26=Data!$UT$10,Data!$VC$1,IF(D26=Data!$UT$11,Data!$VD$1,IF(D26=Data!$UT$12,Data!$VD$22,IF(D26=Data!$UT$13,Data!$VD$22,IF(D26=Data!$UT$14,Data!$UU$13,IF(D26=Data!$UT$15,Data!$UV$13))))))))))))))</f>
        <v>0</v>
      </c>
      <c r="AJ26" s="239" t="e">
        <f>MATCH(D26,Data!$VL$27:$VL$40,0)</f>
        <v>#N/A</v>
      </c>
      <c r="AK26" s="239" t="e">
        <f>MATCH(E26,Data!$VM$26:$VQ$26,0)</f>
        <v>#N/A</v>
      </c>
      <c r="AL26" s="239" t="e">
        <f>INDEX(Data!$VM$27:$VQ$40,'Cellular Blinds'!AJ26,'Cellular Blinds'!AK26)</f>
        <v>#N/A</v>
      </c>
      <c r="AM26" s="239" t="e">
        <f>MATCH(D26, Data!$VL$2:$VL$16,0)</f>
        <v>#N/A</v>
      </c>
      <c r="AN26" s="239" t="e">
        <f>MATCH(E26,Data!$VM$1:$VQ$1,0)</f>
        <v>#N/A</v>
      </c>
      <c r="AO26" s="239" t="e">
        <f>INDEX(Data!$VM$2:$VQ$16,'Cellular Blinds'!AM26,'Cellular Blinds'!AN26)</f>
        <v>#N/A</v>
      </c>
      <c r="AP26" s="33" t="e">
        <f>VLOOKUP(P26,Data!$UW$14:$UX$28,2,FALSE)</f>
        <v>#N/A</v>
      </c>
      <c r="AQ26" s="239" t="e">
        <f>MATCH(E26, Data!$XS$2:$XS$6,0)</f>
        <v>#N/A</v>
      </c>
      <c r="AR26" s="239" t="e">
        <f>MATCH(F26,Data!$XT$1:$YR$1,0)</f>
        <v>#N/A</v>
      </c>
      <c r="AS26" s="239" t="e">
        <f>INDEX(Data!$XT$2:$YR$6,'Cellular Blinds'!AQ26,'Cellular Blinds'!AR26)</f>
        <v>#N/A</v>
      </c>
      <c r="AT26" s="239" t="b">
        <f>IF(D26=Data!$YU$2,Data!$YV$1,IF(D26=Data!$YU$3,Data!$YW$1,IF(D26=Data!$YU$4,Data!$YX$1,IF(D26=Data!$YU$5,Data!$YY$1,IF(D26=Data!$YU$6,Data!$YZ$1,IF(D26=Data!$YU$7,Data!$ZA$1,IF(D26=Data!$YU$8,Data!$ZB$1,IF(D26=Data!$YU$9,Data!$ZC$1,IF(D26=Data!$YU$10,Data!$ZD$1,IF(D26=Data!$YU$11,Data!$ZE$1,IF(D26=Data!$YU$12,Data!$ZE$1,IF(D26=Data!$YU$13,Data!$ZE$1,IF(D26=Data!$YU$14,Data!$ZG$11,IF(D26=Data!$YU$15,Data!$ZF$11))))))))))))))</f>
        <v>0</v>
      </c>
      <c r="AU26" s="239" t="str">
        <f>IF(D26="","",IF(E26=Data!$ZI$2,VLOOKUP(D26,Data!$ZK$2:$ZL$15,2,FALSE),IF(E26=Data!$ZI$1,VLOOKUP(D26,Data!$ZQ$2:$ZR$13,2,FALSE),IF(E26=Data!$ZI$3,VLOOKUP(D26,Data!$ZW$2:$ZX$13,2,FALSE),IF(E26=Data!$ZI$4,VLOOKUP(D26,Data!$AAC$2:$AAD$13,2,FALSE),IF(E26=Data!$ZI$5,VLOOKUP(D26,Data!$AAC$26:$AAD$37,2,FALSE)))))))</f>
        <v/>
      </c>
      <c r="AV26" s="251" t="str">
        <f t="shared" si="12"/>
        <v/>
      </c>
      <c r="AW26" s="251" t="str">
        <f t="shared" si="13"/>
        <v/>
      </c>
      <c r="AX26" s="239" t="str">
        <f t="shared" si="14"/>
        <v/>
      </c>
      <c r="BA26" s="33" t="str">
        <f t="shared" si="15"/>
        <v>FittingBoth</v>
      </c>
      <c r="BN26" s="476" t="str">
        <f t="shared" si="1"/>
        <v>UChannelNA</v>
      </c>
      <c r="BO26" s="476" t="e">
        <f t="shared" si="16"/>
        <v>#N/A</v>
      </c>
      <c r="BP26" s="476" t="str">
        <f t="shared" si="17"/>
        <v>No</v>
      </c>
      <c r="BQ26" s="476" t="str">
        <f t="shared" si="18"/>
        <v>No</v>
      </c>
      <c r="BR26" s="476" t="e">
        <f t="shared" si="2"/>
        <v>#N/A</v>
      </c>
      <c r="BU26" s="172">
        <f t="shared" si="19"/>
        <v>2</v>
      </c>
      <c r="CB26" s="33" t="e">
        <f t="shared" si="3"/>
        <v>#N/A</v>
      </c>
      <c r="CC26" s="172" t="b">
        <f t="shared" si="4"/>
        <v>0</v>
      </c>
      <c r="CD26" s="172">
        <f t="shared" si="5"/>
        <v>0</v>
      </c>
      <c r="CE26" s="172">
        <f t="shared" si="6"/>
        <v>0</v>
      </c>
      <c r="CF26" s="172">
        <f t="shared" si="7"/>
        <v>0</v>
      </c>
      <c r="CG26" s="172">
        <f t="shared" si="8"/>
        <v>0</v>
      </c>
      <c r="CL26" s="239" t="str">
        <f>IF(D26="","",IF(E26=Data!$ZI$2,VLOOKUP(D26,Data!$ZK$2:$ZP$15,3,FALSE),IF(E26=Data!$ZI$1,VLOOKUP(D26,Data!$ZQ$2:$ZS$13,3,FALSE),IF(E26=Data!$ZI$3,VLOOKUP(D26,Data!$ZW$2:$AAB$13,3,FALSE),IF(E26=Data!$ZI$4,VLOOKUP(D26,Data!$AAC$2:$AAI$13,3,FALSE),IF(E26=Data!$ZI$5,VLOOKUP(D26,Data!$AAC$26:$AAI$37,3,FALSE)))))))</f>
        <v/>
      </c>
      <c r="CM26" s="251">
        <f t="shared" si="20"/>
        <v>0</v>
      </c>
      <c r="CN26" s="251" t="e">
        <f t="shared" si="21"/>
        <v>#VALUE!</v>
      </c>
      <c r="CO26" s="239" t="e">
        <f t="shared" si="22"/>
        <v>#VALUE!</v>
      </c>
      <c r="CP26" s="239" t="str">
        <f>IF(D26="","",IF(E26=Data!$ZI$2,VLOOKUP(D26,Data!$ZK$2:$ZN$15,4,FALSE),IF(E26=Data!$ZI$1,VLOOKUP(D26,Data!$ZQ$2:$ZT$13,4,FALSE),IF(E26=Data!$ZI$3,VLOOKUP(D26,Data!$ZW$2:$AAC$13,4,FALSE),IF(E26=Data!$ZI$4,VLOOKUP(D26,Data!$AAC$2:$AAJ$13,4,FALSE),IF(E26=Data!$ZI$5,VLOOKUP(D26,Data!$AAC$26:$AAJ$37,4,FALSE)))))))</f>
        <v/>
      </c>
      <c r="CQ26" s="251">
        <f t="shared" si="23"/>
        <v>0</v>
      </c>
      <c r="CR26" s="251" t="e">
        <f t="shared" si="24"/>
        <v>#VALUE!</v>
      </c>
      <c r="CS26" s="239" t="e">
        <f t="shared" si="25"/>
        <v>#VALUE!</v>
      </c>
      <c r="CT26" s="311">
        <f t="shared" si="26"/>
        <v>0</v>
      </c>
      <c r="CU26" s="239" t="str">
        <f>IF(D26="","",IF(E26=Data!$ZI$2,VLOOKUP(D26,Data!$ZK$2:$ZO$15,5,FALSE),IF(E26=Data!$ZI$1,VLOOKUP(D26,Data!$ZQ$2:$ZU$13,5,FALSE),IF(E26=Data!$ZI$3,VLOOKUP(D26,Data!$ZW$2:$AAD$13,5,FALSE),IF(E26=Data!$ZI$4,VLOOKUP(D26,Data!$AAC$2:$AAK$13,5,FALSE),IF(E26=Data!$ZI$5,VLOOKUP(D26,Data!$AAC$26:$AAK$37,5,FALSE)))))))</f>
        <v/>
      </c>
      <c r="CV26" s="251">
        <f t="shared" si="27"/>
        <v>0</v>
      </c>
      <c r="CW26" s="251" t="e">
        <f t="shared" si="28"/>
        <v>#VALUE!</v>
      </c>
      <c r="CX26" s="239" t="e">
        <f t="shared" si="29"/>
        <v>#VALUE!</v>
      </c>
      <c r="CY26" s="239" t="str">
        <f>IF(D26="","",IF(E26=Data!$ZI$2,VLOOKUP(D26,Data!$ZK$2:$ZP$15,6,FALSE),IF(E26=Data!$ZI$1,VLOOKUP(D26,Data!$ZQ$2:$ZV$13,6,FALSE),IF(E26=Data!$ZI$3,VLOOKUP(D26,Data!$ZW$2:$AAE$13,6,FALSE),IF(E26=Data!$ZI$4,VLOOKUP(D26,Data!$AAC$2:$AAL$13,6,FALSE),IF(E26=Data!$ZI$5,VLOOKUP(D26,Data!$AAC$26:$AAL$37,6,FALSE)))))))</f>
        <v/>
      </c>
      <c r="CZ26" s="251">
        <f t="shared" si="30"/>
        <v>0</v>
      </c>
      <c r="DA26" s="251" t="e">
        <f t="shared" si="31"/>
        <v>#VALUE!</v>
      </c>
      <c r="DB26" s="239" t="e">
        <f t="shared" si="32"/>
        <v>#VALUE!</v>
      </c>
      <c r="DC26" s="311">
        <f t="shared" si="33"/>
        <v>0</v>
      </c>
    </row>
    <row r="27" spans="1:107" ht="30" customHeight="1">
      <c r="A27" s="52">
        <v>20</v>
      </c>
      <c r="B27" s="13"/>
      <c r="C27" s="13"/>
      <c r="D27" s="13"/>
      <c r="E27" s="235"/>
      <c r="F27" s="235"/>
      <c r="G27" s="235"/>
      <c r="H27" s="235"/>
      <c r="I27" s="14"/>
      <c r="J27" s="14"/>
      <c r="K27" s="14"/>
      <c r="L27" s="14"/>
      <c r="M27" s="525"/>
      <c r="N27" s="526"/>
      <c r="O27" s="15"/>
      <c r="P27" s="15"/>
      <c r="Q27" s="15"/>
      <c r="R27" s="15"/>
      <c r="S27" s="15"/>
      <c r="T27" s="13" t="str">
        <f t="shared" si="9"/>
        <v/>
      </c>
      <c r="U27" s="253" t="str">
        <f t="shared" si="10"/>
        <v/>
      </c>
      <c r="V27" s="471"/>
      <c r="W27" s="482" t="b">
        <f t="shared" si="11"/>
        <v>0</v>
      </c>
      <c r="X27" s="230"/>
      <c r="Y27" s="253"/>
      <c r="AA27" s="33" t="str">
        <f>IF(SUM(--ISNUMBER(SEARCH({"Skylight"}, D27))),Data!$AJ$19,Data!$AJ$1)</f>
        <v>WindowType</v>
      </c>
      <c r="AB27" s="33" t="str">
        <f t="shared" si="0"/>
        <v>OK</v>
      </c>
      <c r="AE27" s="239" t="e">
        <f>MATCH(E27, Data!$TB$2:$TB$6,0)</f>
        <v>#N/A</v>
      </c>
      <c r="AF27" s="239" t="e">
        <f>MATCH(F27,Data!$TC$1:$UB$1,0)</f>
        <v>#N/A</v>
      </c>
      <c r="AG27" s="239" t="e">
        <f>INDEX(Data!$TC$2:$UB$6,'Cellular Blinds'!AE27,'Cellular Blinds'!AF27)</f>
        <v>#N/A</v>
      </c>
      <c r="AH27" s="33" t="e">
        <f>VLOOKUP(D27,Data!$RU$2:$RV$15,2,FALSE)</f>
        <v>#N/A</v>
      </c>
      <c r="AI27" s="33" t="b">
        <f>IF(D27=Data!$UT$2,Data!$UU$1,IF(D27=Data!$UT$3,Data!$UV$1,IF(D27=Data!$UT$4,Data!$UW$1,IF(D27=Data!$UT$5,Data!$UX$1,IF(D27=Data!$UT$6,Data!$UY$1,IF(D27=Data!$UT$7,Data!$UZ$1,IF(D27=Data!$UT$8,Data!$VA$1,IF(D27=Data!$UT$9,Data!$VB$1,IF(D27=Data!$UT$10,Data!$VC$1,IF(D27=Data!$UT$11,Data!$VD$1,IF(D27=Data!$UT$12,Data!$VD$22,IF(D27=Data!$UT$13,Data!$VD$22,IF(D27=Data!$UT$14,Data!$UU$13,IF(D27=Data!$UT$15,Data!$UV$13))))))))))))))</f>
        <v>0</v>
      </c>
      <c r="AJ27" s="239" t="e">
        <f>MATCH(D27,Data!$VL$27:$VL$40,0)</f>
        <v>#N/A</v>
      </c>
      <c r="AK27" s="239" t="e">
        <f>MATCH(E27,Data!$VM$26:$VQ$26,0)</f>
        <v>#N/A</v>
      </c>
      <c r="AL27" s="239" t="e">
        <f>INDEX(Data!$VM$27:$VQ$40,'Cellular Blinds'!AJ27,'Cellular Blinds'!AK27)</f>
        <v>#N/A</v>
      </c>
      <c r="AM27" s="239" t="e">
        <f>MATCH(D27, Data!$VL$2:$VL$16,0)</f>
        <v>#N/A</v>
      </c>
      <c r="AN27" s="239" t="e">
        <f>MATCH(E27,Data!$VM$1:$VQ$1,0)</f>
        <v>#N/A</v>
      </c>
      <c r="AO27" s="239" t="e">
        <f>INDEX(Data!$VM$2:$VQ$16,'Cellular Blinds'!AM27,'Cellular Blinds'!AN27)</f>
        <v>#N/A</v>
      </c>
      <c r="AP27" s="33" t="e">
        <f>VLOOKUP(P27,Data!$UW$14:$UX$28,2,FALSE)</f>
        <v>#N/A</v>
      </c>
      <c r="AQ27" s="239" t="e">
        <f>MATCH(E27, Data!$XS$2:$XS$6,0)</f>
        <v>#N/A</v>
      </c>
      <c r="AR27" s="239" t="e">
        <f>MATCH(F27,Data!$XT$1:$YR$1,0)</f>
        <v>#N/A</v>
      </c>
      <c r="AS27" s="239" t="e">
        <f>INDEX(Data!$XT$2:$YR$6,'Cellular Blinds'!AQ27,'Cellular Blinds'!AR27)</f>
        <v>#N/A</v>
      </c>
      <c r="AT27" s="239" t="b">
        <f>IF(D27=Data!$YU$2,Data!$YV$1,IF(D27=Data!$YU$3,Data!$YW$1,IF(D27=Data!$YU$4,Data!$YX$1,IF(D27=Data!$YU$5,Data!$YY$1,IF(D27=Data!$YU$6,Data!$YZ$1,IF(D27=Data!$YU$7,Data!$ZA$1,IF(D27=Data!$YU$8,Data!$ZB$1,IF(D27=Data!$YU$9,Data!$ZC$1,IF(D27=Data!$YU$10,Data!$ZD$1,IF(D27=Data!$YU$11,Data!$ZE$1,IF(D27=Data!$YU$12,Data!$ZE$1,IF(D27=Data!$YU$13,Data!$ZE$1,IF(D27=Data!$YU$14,Data!$ZG$11,IF(D27=Data!$YU$15,Data!$ZF$11))))))))))))))</f>
        <v>0</v>
      </c>
      <c r="AU27" s="239" t="str">
        <f>IF(D27="","",IF(E27=Data!$ZI$2,VLOOKUP(D27,Data!$ZK$2:$ZL$15,2,FALSE),IF(E27=Data!$ZI$1,VLOOKUP(D27,Data!$ZQ$2:$ZR$13,2,FALSE),IF(E27=Data!$ZI$3,VLOOKUP(D27,Data!$ZW$2:$ZX$13,2,FALSE),IF(E27=Data!$ZI$4,VLOOKUP(D27,Data!$AAC$2:$AAD$13,2,FALSE),IF(E27=Data!$ZI$5,VLOOKUP(D27,Data!$AAC$26:$AAD$37,2,FALSE)))))))</f>
        <v/>
      </c>
      <c r="AV27" s="251" t="str">
        <f t="shared" si="12"/>
        <v/>
      </c>
      <c r="AW27" s="251" t="str">
        <f t="shared" si="13"/>
        <v/>
      </c>
      <c r="AX27" s="239" t="str">
        <f t="shared" si="14"/>
        <v/>
      </c>
      <c r="BA27" s="33" t="str">
        <f t="shared" si="15"/>
        <v>FittingBoth</v>
      </c>
      <c r="BN27" s="476" t="str">
        <f t="shared" si="1"/>
        <v>UChannelNA</v>
      </c>
      <c r="BO27" s="476" t="e">
        <f t="shared" si="16"/>
        <v>#N/A</v>
      </c>
      <c r="BP27" s="476" t="str">
        <f t="shared" si="17"/>
        <v>No</v>
      </c>
      <c r="BQ27" s="476" t="str">
        <f t="shared" si="18"/>
        <v>No</v>
      </c>
      <c r="BR27" s="476" t="e">
        <f t="shared" si="2"/>
        <v>#N/A</v>
      </c>
      <c r="BU27" s="172">
        <f t="shared" si="19"/>
        <v>2</v>
      </c>
      <c r="CB27" s="33" t="e">
        <f t="shared" si="3"/>
        <v>#N/A</v>
      </c>
      <c r="CC27" s="172" t="b">
        <f t="shared" si="4"/>
        <v>0</v>
      </c>
      <c r="CD27" s="172">
        <f t="shared" si="5"/>
        <v>0</v>
      </c>
      <c r="CE27" s="172">
        <f t="shared" si="6"/>
        <v>0</v>
      </c>
      <c r="CF27" s="172">
        <f t="shared" si="7"/>
        <v>0</v>
      </c>
      <c r="CG27" s="172">
        <f t="shared" si="8"/>
        <v>0</v>
      </c>
      <c r="CL27" s="239" t="str">
        <f>IF(D27="","",IF(E27=Data!$ZI$2,VLOOKUP(D27,Data!$ZK$2:$ZP$15,3,FALSE),IF(E27=Data!$ZI$1,VLOOKUP(D27,Data!$ZQ$2:$ZS$13,3,FALSE),IF(E27=Data!$ZI$3,VLOOKUP(D27,Data!$ZW$2:$AAB$13,3,FALSE),IF(E27=Data!$ZI$4,VLOOKUP(D27,Data!$AAC$2:$AAI$13,3,FALSE),IF(E27=Data!$ZI$5,VLOOKUP(D27,Data!$AAC$26:$AAI$37,3,FALSE)))))))</f>
        <v/>
      </c>
      <c r="CM27" s="251">
        <f t="shared" si="20"/>
        <v>0</v>
      </c>
      <c r="CN27" s="251" t="e">
        <f t="shared" si="21"/>
        <v>#VALUE!</v>
      </c>
      <c r="CO27" s="239" t="e">
        <f t="shared" si="22"/>
        <v>#VALUE!</v>
      </c>
      <c r="CP27" s="239" t="str">
        <f>IF(D27="","",IF(E27=Data!$ZI$2,VLOOKUP(D27,Data!$ZK$2:$ZN$15,4,FALSE),IF(E27=Data!$ZI$1,VLOOKUP(D27,Data!$ZQ$2:$ZT$13,4,FALSE),IF(E27=Data!$ZI$3,VLOOKUP(D27,Data!$ZW$2:$AAC$13,4,FALSE),IF(E27=Data!$ZI$4,VLOOKUP(D27,Data!$AAC$2:$AAJ$13,4,FALSE),IF(E27=Data!$ZI$5,VLOOKUP(D27,Data!$AAC$26:$AAJ$37,4,FALSE)))))))</f>
        <v/>
      </c>
      <c r="CQ27" s="251">
        <f t="shared" si="23"/>
        <v>0</v>
      </c>
      <c r="CR27" s="251" t="e">
        <f t="shared" si="24"/>
        <v>#VALUE!</v>
      </c>
      <c r="CS27" s="239" t="e">
        <f t="shared" si="25"/>
        <v>#VALUE!</v>
      </c>
      <c r="CT27" s="311">
        <f t="shared" si="26"/>
        <v>0</v>
      </c>
      <c r="CU27" s="239" t="str">
        <f>IF(D27="","",IF(E27=Data!$ZI$2,VLOOKUP(D27,Data!$ZK$2:$ZO$15,5,FALSE),IF(E27=Data!$ZI$1,VLOOKUP(D27,Data!$ZQ$2:$ZU$13,5,FALSE),IF(E27=Data!$ZI$3,VLOOKUP(D27,Data!$ZW$2:$AAD$13,5,FALSE),IF(E27=Data!$ZI$4,VLOOKUP(D27,Data!$AAC$2:$AAK$13,5,FALSE),IF(E27=Data!$ZI$5,VLOOKUP(D27,Data!$AAC$26:$AAK$37,5,FALSE)))))))</f>
        <v/>
      </c>
      <c r="CV27" s="251">
        <f t="shared" si="27"/>
        <v>0</v>
      </c>
      <c r="CW27" s="251" t="e">
        <f t="shared" si="28"/>
        <v>#VALUE!</v>
      </c>
      <c r="CX27" s="239" t="e">
        <f t="shared" si="29"/>
        <v>#VALUE!</v>
      </c>
      <c r="CY27" s="239" t="str">
        <f>IF(D27="","",IF(E27=Data!$ZI$2,VLOOKUP(D27,Data!$ZK$2:$ZP$15,6,FALSE),IF(E27=Data!$ZI$1,VLOOKUP(D27,Data!$ZQ$2:$ZV$13,6,FALSE),IF(E27=Data!$ZI$3,VLOOKUP(D27,Data!$ZW$2:$AAE$13,6,FALSE),IF(E27=Data!$ZI$4,VLOOKUP(D27,Data!$AAC$2:$AAL$13,6,FALSE),IF(E27=Data!$ZI$5,VLOOKUP(D27,Data!$AAC$26:$AAL$37,6,FALSE)))))))</f>
        <v/>
      </c>
      <c r="CZ27" s="251">
        <f t="shared" si="30"/>
        <v>0</v>
      </c>
      <c r="DA27" s="251" t="e">
        <f t="shared" si="31"/>
        <v>#VALUE!</v>
      </c>
      <c r="DB27" s="239" t="e">
        <f t="shared" si="32"/>
        <v>#VALUE!</v>
      </c>
      <c r="DC27" s="311">
        <f t="shared" si="33"/>
        <v>0</v>
      </c>
    </row>
    <row r="28" spans="1:107" ht="30" customHeight="1">
      <c r="A28" s="52">
        <v>21</v>
      </c>
      <c r="B28" s="19"/>
      <c r="C28" s="13"/>
      <c r="D28" s="13"/>
      <c r="E28" s="235"/>
      <c r="F28" s="235"/>
      <c r="G28" s="235"/>
      <c r="H28" s="235"/>
      <c r="I28" s="14"/>
      <c r="J28" s="14"/>
      <c r="K28" s="14"/>
      <c r="L28" s="14"/>
      <c r="M28" s="525"/>
      <c r="N28" s="526"/>
      <c r="O28" s="15"/>
      <c r="P28" s="15"/>
      <c r="Q28" s="15"/>
      <c r="R28" s="15"/>
      <c r="S28" s="15"/>
      <c r="T28" s="13" t="str">
        <f t="shared" si="9"/>
        <v/>
      </c>
      <c r="U28" s="253" t="str">
        <f t="shared" si="10"/>
        <v/>
      </c>
      <c r="V28" s="471"/>
      <c r="W28" s="482" t="b">
        <f t="shared" si="11"/>
        <v>0</v>
      </c>
      <c r="X28" s="230"/>
      <c r="Y28" s="253"/>
      <c r="AA28" s="33" t="str">
        <f>IF(SUM(--ISNUMBER(SEARCH({"Skylight"}, D28))),Data!$AJ$19,Data!$AJ$1)</f>
        <v>WindowType</v>
      </c>
      <c r="AB28" s="33" t="str">
        <f t="shared" si="0"/>
        <v>OK</v>
      </c>
      <c r="AE28" s="239" t="e">
        <f>MATCH(E28, Data!$TB$2:$TB$6,0)</f>
        <v>#N/A</v>
      </c>
      <c r="AF28" s="239" t="e">
        <f>MATCH(F28,Data!$TC$1:$UB$1,0)</f>
        <v>#N/A</v>
      </c>
      <c r="AG28" s="239" t="e">
        <f>INDEX(Data!$TC$2:$UB$6,'Cellular Blinds'!AE28,'Cellular Blinds'!AF28)</f>
        <v>#N/A</v>
      </c>
      <c r="AH28" s="33" t="e">
        <f>VLOOKUP(D28,Data!$RU$2:$RV$15,2,FALSE)</f>
        <v>#N/A</v>
      </c>
      <c r="AI28" s="33" t="b">
        <f>IF(D28=Data!$UT$2,Data!$UU$1,IF(D28=Data!$UT$3,Data!$UV$1,IF(D28=Data!$UT$4,Data!$UW$1,IF(D28=Data!$UT$5,Data!$UX$1,IF(D28=Data!$UT$6,Data!$UY$1,IF(D28=Data!$UT$7,Data!$UZ$1,IF(D28=Data!$UT$8,Data!$VA$1,IF(D28=Data!$UT$9,Data!$VB$1,IF(D28=Data!$UT$10,Data!$VC$1,IF(D28=Data!$UT$11,Data!$VD$1,IF(D28=Data!$UT$12,Data!$VD$22,IF(D28=Data!$UT$13,Data!$VD$22,IF(D28=Data!$UT$14,Data!$UU$13,IF(D28=Data!$UT$15,Data!$UV$13))))))))))))))</f>
        <v>0</v>
      </c>
      <c r="AJ28" s="239" t="e">
        <f>MATCH(D28,Data!$VL$27:$VL$40,0)</f>
        <v>#N/A</v>
      </c>
      <c r="AK28" s="239" t="e">
        <f>MATCH(E28,Data!$VM$26:$VQ$26,0)</f>
        <v>#N/A</v>
      </c>
      <c r="AL28" s="239" t="e">
        <f>INDEX(Data!$VM$27:$VQ$40,'Cellular Blinds'!AJ28,'Cellular Blinds'!AK28)</f>
        <v>#N/A</v>
      </c>
      <c r="AM28" s="239" t="e">
        <f>MATCH(D28, Data!$VL$2:$VL$16,0)</f>
        <v>#N/A</v>
      </c>
      <c r="AN28" s="239" t="e">
        <f>MATCH(E28,Data!$VM$1:$VQ$1,0)</f>
        <v>#N/A</v>
      </c>
      <c r="AO28" s="239" t="e">
        <f>INDEX(Data!$VM$2:$VQ$16,'Cellular Blinds'!AM28,'Cellular Blinds'!AN28)</f>
        <v>#N/A</v>
      </c>
      <c r="AP28" s="33" t="e">
        <f>VLOOKUP(P28,Data!$UW$14:$UX$28,2,FALSE)</f>
        <v>#N/A</v>
      </c>
      <c r="AQ28" s="239" t="e">
        <f>MATCH(E28, Data!$XS$2:$XS$6,0)</f>
        <v>#N/A</v>
      </c>
      <c r="AR28" s="239" t="e">
        <f>MATCH(F28,Data!$XT$1:$YR$1,0)</f>
        <v>#N/A</v>
      </c>
      <c r="AS28" s="239" t="e">
        <f>INDEX(Data!$XT$2:$YR$6,'Cellular Blinds'!AQ28,'Cellular Blinds'!AR28)</f>
        <v>#N/A</v>
      </c>
      <c r="AT28" s="239" t="b">
        <f>IF(D28=Data!$YU$2,Data!$YV$1,IF(D28=Data!$YU$3,Data!$YW$1,IF(D28=Data!$YU$4,Data!$YX$1,IF(D28=Data!$YU$5,Data!$YY$1,IF(D28=Data!$YU$6,Data!$YZ$1,IF(D28=Data!$YU$7,Data!$ZA$1,IF(D28=Data!$YU$8,Data!$ZB$1,IF(D28=Data!$YU$9,Data!$ZC$1,IF(D28=Data!$YU$10,Data!$ZD$1,IF(D28=Data!$YU$11,Data!$ZE$1,IF(D28=Data!$YU$12,Data!$ZE$1,IF(D28=Data!$YU$13,Data!$ZE$1,IF(D28=Data!$YU$14,Data!$ZG$11,IF(D28=Data!$YU$15,Data!$ZF$11))))))))))))))</f>
        <v>0</v>
      </c>
      <c r="AU28" s="239" t="str">
        <f>IF(D28="","",IF(E28=Data!$ZI$2,VLOOKUP(D28,Data!$ZK$2:$ZL$15,2,FALSE),IF(E28=Data!$ZI$1,VLOOKUP(D28,Data!$ZQ$2:$ZR$13,2,FALSE),IF(E28=Data!$ZI$3,VLOOKUP(D28,Data!$ZW$2:$ZX$13,2,FALSE),IF(E28=Data!$ZI$4,VLOOKUP(D28,Data!$AAC$2:$AAD$13,2,FALSE),IF(E28=Data!$ZI$5,VLOOKUP(D28,Data!$AAC$26:$AAD$37,2,FALSE)))))))</f>
        <v/>
      </c>
      <c r="AV28" s="251" t="str">
        <f t="shared" si="12"/>
        <v/>
      </c>
      <c r="AW28" s="251" t="str">
        <f t="shared" si="13"/>
        <v/>
      </c>
      <c r="AX28" s="239" t="str">
        <f t="shared" si="14"/>
        <v/>
      </c>
      <c r="BA28" s="33" t="str">
        <f t="shared" si="15"/>
        <v>FittingBoth</v>
      </c>
      <c r="BN28" s="476" t="str">
        <f t="shared" si="1"/>
        <v>UChannelNA</v>
      </c>
      <c r="BO28" s="476" t="e">
        <f t="shared" si="16"/>
        <v>#N/A</v>
      </c>
      <c r="BP28" s="476" t="str">
        <f t="shared" si="17"/>
        <v>No</v>
      </c>
      <c r="BQ28" s="476" t="str">
        <f t="shared" si="18"/>
        <v>No</v>
      </c>
      <c r="BR28" s="476" t="e">
        <f t="shared" si="2"/>
        <v>#N/A</v>
      </c>
      <c r="BU28" s="172">
        <f t="shared" si="19"/>
        <v>2</v>
      </c>
      <c r="CB28" s="33" t="e">
        <f t="shared" si="3"/>
        <v>#N/A</v>
      </c>
      <c r="CC28" s="172" t="b">
        <f t="shared" si="4"/>
        <v>0</v>
      </c>
      <c r="CD28" s="172">
        <f t="shared" si="5"/>
        <v>0</v>
      </c>
      <c r="CE28" s="172">
        <f t="shared" si="6"/>
        <v>0</v>
      </c>
      <c r="CF28" s="172">
        <f t="shared" si="7"/>
        <v>0</v>
      </c>
      <c r="CG28" s="172">
        <f t="shared" si="8"/>
        <v>0</v>
      </c>
      <c r="CL28" s="239" t="str">
        <f>IF(D28="","",IF(E28=Data!$ZI$2,VLOOKUP(D28,Data!$ZK$2:$ZP$15,3,FALSE),IF(E28=Data!$ZI$1,VLOOKUP(D28,Data!$ZQ$2:$ZS$13,3,FALSE),IF(E28=Data!$ZI$3,VLOOKUP(D28,Data!$ZW$2:$AAB$13,3,FALSE),IF(E28=Data!$ZI$4,VLOOKUP(D28,Data!$AAC$2:$AAI$13,3,FALSE),IF(E28=Data!$ZI$5,VLOOKUP(D28,Data!$AAC$26:$AAI$37,3,FALSE)))))))</f>
        <v/>
      </c>
      <c r="CM28" s="251">
        <f t="shared" si="20"/>
        <v>0</v>
      </c>
      <c r="CN28" s="251" t="e">
        <f t="shared" si="21"/>
        <v>#VALUE!</v>
      </c>
      <c r="CO28" s="239" t="e">
        <f t="shared" si="22"/>
        <v>#VALUE!</v>
      </c>
      <c r="CP28" s="239" t="str">
        <f>IF(D28="","",IF(E28=Data!$ZI$2,VLOOKUP(D28,Data!$ZK$2:$ZN$15,4,FALSE),IF(E28=Data!$ZI$1,VLOOKUP(D28,Data!$ZQ$2:$ZT$13,4,FALSE),IF(E28=Data!$ZI$3,VLOOKUP(D28,Data!$ZW$2:$AAC$13,4,FALSE),IF(E28=Data!$ZI$4,VLOOKUP(D28,Data!$AAC$2:$AAJ$13,4,FALSE),IF(E28=Data!$ZI$5,VLOOKUP(D28,Data!$AAC$26:$AAJ$37,4,FALSE)))))))</f>
        <v/>
      </c>
      <c r="CQ28" s="251">
        <f t="shared" si="23"/>
        <v>0</v>
      </c>
      <c r="CR28" s="251" t="e">
        <f t="shared" si="24"/>
        <v>#VALUE!</v>
      </c>
      <c r="CS28" s="239" t="e">
        <f t="shared" si="25"/>
        <v>#VALUE!</v>
      </c>
      <c r="CT28" s="311">
        <f t="shared" si="26"/>
        <v>0</v>
      </c>
      <c r="CU28" s="239" t="str">
        <f>IF(D28="","",IF(E28=Data!$ZI$2,VLOOKUP(D28,Data!$ZK$2:$ZO$15,5,FALSE),IF(E28=Data!$ZI$1,VLOOKUP(D28,Data!$ZQ$2:$ZU$13,5,FALSE),IF(E28=Data!$ZI$3,VLOOKUP(D28,Data!$ZW$2:$AAD$13,5,FALSE),IF(E28=Data!$ZI$4,VLOOKUP(D28,Data!$AAC$2:$AAK$13,5,FALSE),IF(E28=Data!$ZI$5,VLOOKUP(D28,Data!$AAC$26:$AAK$37,5,FALSE)))))))</f>
        <v/>
      </c>
      <c r="CV28" s="251">
        <f t="shared" si="27"/>
        <v>0</v>
      </c>
      <c r="CW28" s="251" t="e">
        <f t="shared" si="28"/>
        <v>#VALUE!</v>
      </c>
      <c r="CX28" s="239" t="e">
        <f t="shared" si="29"/>
        <v>#VALUE!</v>
      </c>
      <c r="CY28" s="239" t="str">
        <f>IF(D28="","",IF(E28=Data!$ZI$2,VLOOKUP(D28,Data!$ZK$2:$ZP$15,6,FALSE),IF(E28=Data!$ZI$1,VLOOKUP(D28,Data!$ZQ$2:$ZV$13,6,FALSE),IF(E28=Data!$ZI$3,VLOOKUP(D28,Data!$ZW$2:$AAE$13,6,FALSE),IF(E28=Data!$ZI$4,VLOOKUP(D28,Data!$AAC$2:$AAL$13,6,FALSE),IF(E28=Data!$ZI$5,VLOOKUP(D28,Data!$AAC$26:$AAL$37,6,FALSE)))))))</f>
        <v/>
      </c>
      <c r="CZ28" s="251">
        <f t="shared" si="30"/>
        <v>0</v>
      </c>
      <c r="DA28" s="251" t="e">
        <f t="shared" si="31"/>
        <v>#VALUE!</v>
      </c>
      <c r="DB28" s="239" t="e">
        <f t="shared" si="32"/>
        <v>#VALUE!</v>
      </c>
      <c r="DC28" s="311">
        <f t="shared" si="33"/>
        <v>0</v>
      </c>
    </row>
    <row r="29" spans="1:107" ht="30" customHeight="1">
      <c r="A29" s="52">
        <v>22</v>
      </c>
      <c r="B29" s="13"/>
      <c r="C29" s="13"/>
      <c r="D29" s="13"/>
      <c r="E29" s="235"/>
      <c r="F29" s="235"/>
      <c r="G29" s="235"/>
      <c r="H29" s="235"/>
      <c r="I29" s="14"/>
      <c r="J29" s="14"/>
      <c r="K29" s="14"/>
      <c r="L29" s="14"/>
      <c r="M29" s="525"/>
      <c r="N29" s="526"/>
      <c r="O29" s="15"/>
      <c r="P29" s="15"/>
      <c r="Q29" s="15"/>
      <c r="R29" s="15"/>
      <c r="S29" s="15"/>
      <c r="T29" s="13" t="str">
        <f t="shared" si="9"/>
        <v/>
      </c>
      <c r="U29" s="253" t="str">
        <f t="shared" si="10"/>
        <v/>
      </c>
      <c r="V29" s="471"/>
      <c r="W29" s="482" t="b">
        <f t="shared" si="11"/>
        <v>0</v>
      </c>
      <c r="X29" s="230"/>
      <c r="Y29" s="253"/>
      <c r="AA29" s="33" t="str">
        <f>IF(SUM(--ISNUMBER(SEARCH({"Skylight"}, D29))),Data!$AJ$19,Data!$AJ$1)</f>
        <v>WindowType</v>
      </c>
      <c r="AB29" s="33" t="str">
        <f t="shared" si="0"/>
        <v>OK</v>
      </c>
      <c r="AE29" s="239" t="e">
        <f>MATCH(E29, Data!$TB$2:$TB$6,0)</f>
        <v>#N/A</v>
      </c>
      <c r="AF29" s="239" t="e">
        <f>MATCH(F29,Data!$TC$1:$UB$1,0)</f>
        <v>#N/A</v>
      </c>
      <c r="AG29" s="239" t="e">
        <f>INDEX(Data!$TC$2:$UB$6,'Cellular Blinds'!AE29,'Cellular Blinds'!AF29)</f>
        <v>#N/A</v>
      </c>
      <c r="AH29" s="33" t="e">
        <f>VLOOKUP(D29,Data!$RU$2:$RV$15,2,FALSE)</f>
        <v>#N/A</v>
      </c>
      <c r="AI29" s="33" t="b">
        <f>IF(D29=Data!$UT$2,Data!$UU$1,IF(D29=Data!$UT$3,Data!$UV$1,IF(D29=Data!$UT$4,Data!$UW$1,IF(D29=Data!$UT$5,Data!$UX$1,IF(D29=Data!$UT$6,Data!$UY$1,IF(D29=Data!$UT$7,Data!$UZ$1,IF(D29=Data!$UT$8,Data!$VA$1,IF(D29=Data!$UT$9,Data!$VB$1,IF(D29=Data!$UT$10,Data!$VC$1,IF(D29=Data!$UT$11,Data!$VD$1,IF(D29=Data!$UT$12,Data!$VD$22,IF(D29=Data!$UT$13,Data!$VD$22,IF(D29=Data!$UT$14,Data!$UU$13,IF(D29=Data!$UT$15,Data!$UV$13))))))))))))))</f>
        <v>0</v>
      </c>
      <c r="AJ29" s="239" t="e">
        <f>MATCH(D29,Data!$VL$27:$VL$40,0)</f>
        <v>#N/A</v>
      </c>
      <c r="AK29" s="239" t="e">
        <f>MATCH(E29,Data!$VM$26:$VQ$26,0)</f>
        <v>#N/A</v>
      </c>
      <c r="AL29" s="239" t="e">
        <f>INDEX(Data!$VM$27:$VQ$40,'Cellular Blinds'!AJ29,'Cellular Blinds'!AK29)</f>
        <v>#N/A</v>
      </c>
      <c r="AM29" s="239" t="e">
        <f>MATCH(D29, Data!$VL$2:$VL$16,0)</f>
        <v>#N/A</v>
      </c>
      <c r="AN29" s="239" t="e">
        <f>MATCH(E29,Data!$VM$1:$VQ$1,0)</f>
        <v>#N/A</v>
      </c>
      <c r="AO29" s="239" t="e">
        <f>INDEX(Data!$VM$2:$VQ$16,'Cellular Blinds'!AM29,'Cellular Blinds'!AN29)</f>
        <v>#N/A</v>
      </c>
      <c r="AP29" s="33" t="e">
        <f>VLOOKUP(P29,Data!$UW$14:$UX$28,2,FALSE)</f>
        <v>#N/A</v>
      </c>
      <c r="AQ29" s="239" t="e">
        <f>MATCH(E29, Data!$XS$2:$XS$6,0)</f>
        <v>#N/A</v>
      </c>
      <c r="AR29" s="239" t="e">
        <f>MATCH(F29,Data!$XT$1:$YR$1,0)</f>
        <v>#N/A</v>
      </c>
      <c r="AS29" s="239" t="e">
        <f>INDEX(Data!$XT$2:$YR$6,'Cellular Blinds'!AQ29,'Cellular Blinds'!AR29)</f>
        <v>#N/A</v>
      </c>
      <c r="AT29" s="239" t="b">
        <f>IF(D29=Data!$YU$2,Data!$YV$1,IF(D29=Data!$YU$3,Data!$YW$1,IF(D29=Data!$YU$4,Data!$YX$1,IF(D29=Data!$YU$5,Data!$YY$1,IF(D29=Data!$YU$6,Data!$YZ$1,IF(D29=Data!$YU$7,Data!$ZA$1,IF(D29=Data!$YU$8,Data!$ZB$1,IF(D29=Data!$YU$9,Data!$ZC$1,IF(D29=Data!$YU$10,Data!$ZD$1,IF(D29=Data!$YU$11,Data!$ZE$1,IF(D29=Data!$YU$12,Data!$ZE$1,IF(D29=Data!$YU$13,Data!$ZE$1,IF(D29=Data!$YU$14,Data!$ZG$11,IF(D29=Data!$YU$15,Data!$ZF$11))))))))))))))</f>
        <v>0</v>
      </c>
      <c r="AU29" s="239" t="str">
        <f>IF(D29="","",IF(E29=Data!$ZI$2,VLOOKUP(D29,Data!$ZK$2:$ZL$15,2,FALSE),IF(E29=Data!$ZI$1,VLOOKUP(D29,Data!$ZQ$2:$ZR$13,2,FALSE),IF(E29=Data!$ZI$3,VLOOKUP(D29,Data!$ZW$2:$ZX$13,2,FALSE),IF(E29=Data!$ZI$4,VLOOKUP(D29,Data!$AAC$2:$AAD$13,2,FALSE),IF(E29=Data!$ZI$5,VLOOKUP(D29,Data!$AAC$26:$AAD$37,2,FALSE)))))))</f>
        <v/>
      </c>
      <c r="AV29" s="251" t="str">
        <f t="shared" si="12"/>
        <v/>
      </c>
      <c r="AW29" s="251" t="str">
        <f t="shared" si="13"/>
        <v/>
      </c>
      <c r="AX29" s="239" t="str">
        <f t="shared" si="14"/>
        <v/>
      </c>
      <c r="BA29" s="33" t="str">
        <f t="shared" si="15"/>
        <v>FittingBoth</v>
      </c>
      <c r="BN29" s="476" t="str">
        <f t="shared" si="1"/>
        <v>UChannelNA</v>
      </c>
      <c r="BO29" s="476" t="e">
        <f t="shared" si="16"/>
        <v>#N/A</v>
      </c>
      <c r="BP29" s="476" t="str">
        <f t="shared" si="17"/>
        <v>No</v>
      </c>
      <c r="BQ29" s="476" t="str">
        <f t="shared" si="18"/>
        <v>No</v>
      </c>
      <c r="BR29" s="476" t="e">
        <f t="shared" si="2"/>
        <v>#N/A</v>
      </c>
      <c r="BU29" s="172">
        <f t="shared" si="19"/>
        <v>2</v>
      </c>
      <c r="CB29" s="33" t="e">
        <f t="shared" si="3"/>
        <v>#N/A</v>
      </c>
      <c r="CC29" s="172" t="b">
        <f t="shared" si="4"/>
        <v>0</v>
      </c>
      <c r="CD29" s="172">
        <f t="shared" si="5"/>
        <v>0</v>
      </c>
      <c r="CE29" s="172">
        <f t="shared" si="6"/>
        <v>0</v>
      </c>
      <c r="CF29" s="172">
        <f t="shared" si="7"/>
        <v>0</v>
      </c>
      <c r="CG29" s="172">
        <f t="shared" si="8"/>
        <v>0</v>
      </c>
      <c r="CL29" s="239" t="str">
        <f>IF(D29="","",IF(E29=Data!$ZI$2,VLOOKUP(D29,Data!$ZK$2:$ZP$15,3,FALSE),IF(E29=Data!$ZI$1,VLOOKUP(D29,Data!$ZQ$2:$ZS$13,3,FALSE),IF(E29=Data!$ZI$3,VLOOKUP(D29,Data!$ZW$2:$AAB$13,3,FALSE),IF(E29=Data!$ZI$4,VLOOKUP(D29,Data!$AAC$2:$AAI$13,3,FALSE),IF(E29=Data!$ZI$5,VLOOKUP(D29,Data!$AAC$26:$AAI$37,3,FALSE)))))))</f>
        <v/>
      </c>
      <c r="CM29" s="251">
        <f t="shared" si="20"/>
        <v>0</v>
      </c>
      <c r="CN29" s="251" t="e">
        <f t="shared" si="21"/>
        <v>#VALUE!</v>
      </c>
      <c r="CO29" s="239" t="e">
        <f t="shared" si="22"/>
        <v>#VALUE!</v>
      </c>
      <c r="CP29" s="239" t="str">
        <f>IF(D29="","",IF(E29=Data!$ZI$2,VLOOKUP(D29,Data!$ZK$2:$ZN$15,4,FALSE),IF(E29=Data!$ZI$1,VLOOKUP(D29,Data!$ZQ$2:$ZT$13,4,FALSE),IF(E29=Data!$ZI$3,VLOOKUP(D29,Data!$ZW$2:$AAC$13,4,FALSE),IF(E29=Data!$ZI$4,VLOOKUP(D29,Data!$AAC$2:$AAJ$13,4,FALSE),IF(E29=Data!$ZI$5,VLOOKUP(D29,Data!$AAC$26:$AAJ$37,4,FALSE)))))))</f>
        <v/>
      </c>
      <c r="CQ29" s="251">
        <f t="shared" si="23"/>
        <v>0</v>
      </c>
      <c r="CR29" s="251" t="e">
        <f t="shared" si="24"/>
        <v>#VALUE!</v>
      </c>
      <c r="CS29" s="239" t="e">
        <f t="shared" si="25"/>
        <v>#VALUE!</v>
      </c>
      <c r="CT29" s="311">
        <f t="shared" si="26"/>
        <v>0</v>
      </c>
      <c r="CU29" s="239" t="str">
        <f>IF(D29="","",IF(E29=Data!$ZI$2,VLOOKUP(D29,Data!$ZK$2:$ZO$15,5,FALSE),IF(E29=Data!$ZI$1,VLOOKUP(D29,Data!$ZQ$2:$ZU$13,5,FALSE),IF(E29=Data!$ZI$3,VLOOKUP(D29,Data!$ZW$2:$AAD$13,5,FALSE),IF(E29=Data!$ZI$4,VLOOKUP(D29,Data!$AAC$2:$AAK$13,5,FALSE),IF(E29=Data!$ZI$5,VLOOKUP(D29,Data!$AAC$26:$AAK$37,5,FALSE)))))))</f>
        <v/>
      </c>
      <c r="CV29" s="251">
        <f t="shared" si="27"/>
        <v>0</v>
      </c>
      <c r="CW29" s="251" t="e">
        <f t="shared" si="28"/>
        <v>#VALUE!</v>
      </c>
      <c r="CX29" s="239" t="e">
        <f t="shared" si="29"/>
        <v>#VALUE!</v>
      </c>
      <c r="CY29" s="239" t="str">
        <f>IF(D29="","",IF(E29=Data!$ZI$2,VLOOKUP(D29,Data!$ZK$2:$ZP$15,6,FALSE),IF(E29=Data!$ZI$1,VLOOKUP(D29,Data!$ZQ$2:$ZV$13,6,FALSE),IF(E29=Data!$ZI$3,VLOOKUP(D29,Data!$ZW$2:$AAE$13,6,FALSE),IF(E29=Data!$ZI$4,VLOOKUP(D29,Data!$AAC$2:$AAL$13,6,FALSE),IF(E29=Data!$ZI$5,VLOOKUP(D29,Data!$AAC$26:$AAL$37,6,FALSE)))))))</f>
        <v/>
      </c>
      <c r="CZ29" s="251">
        <f t="shared" si="30"/>
        <v>0</v>
      </c>
      <c r="DA29" s="251" t="e">
        <f t="shared" si="31"/>
        <v>#VALUE!</v>
      </c>
      <c r="DB29" s="239" t="e">
        <f t="shared" si="32"/>
        <v>#VALUE!</v>
      </c>
      <c r="DC29" s="311">
        <f t="shared" si="33"/>
        <v>0</v>
      </c>
    </row>
    <row r="30" spans="1:107" ht="30" customHeight="1">
      <c r="A30" s="52">
        <v>23</v>
      </c>
      <c r="B30" s="13"/>
      <c r="C30" s="13"/>
      <c r="D30" s="13"/>
      <c r="E30" s="235"/>
      <c r="F30" s="235"/>
      <c r="G30" s="235"/>
      <c r="H30" s="235"/>
      <c r="I30" s="14"/>
      <c r="J30" s="14"/>
      <c r="K30" s="14"/>
      <c r="L30" s="14"/>
      <c r="M30" s="525"/>
      <c r="N30" s="526"/>
      <c r="O30" s="15"/>
      <c r="P30" s="15"/>
      <c r="Q30" s="15"/>
      <c r="R30" s="15"/>
      <c r="S30" s="15"/>
      <c r="T30" s="13" t="str">
        <f t="shared" si="9"/>
        <v/>
      </c>
      <c r="U30" s="253" t="str">
        <f t="shared" si="10"/>
        <v/>
      </c>
      <c r="V30" s="471"/>
      <c r="W30" s="482" t="b">
        <f t="shared" si="11"/>
        <v>0</v>
      </c>
      <c r="X30" s="230"/>
      <c r="Y30" s="253"/>
      <c r="AA30" s="33" t="str">
        <f>IF(SUM(--ISNUMBER(SEARCH({"Skylight"}, D30))),Data!$AJ$19,Data!$AJ$1)</f>
        <v>WindowType</v>
      </c>
      <c r="AB30" s="33" t="str">
        <f t="shared" si="0"/>
        <v>OK</v>
      </c>
      <c r="AE30" s="239" t="e">
        <f>MATCH(E30, Data!$TB$2:$TB$6,0)</f>
        <v>#N/A</v>
      </c>
      <c r="AF30" s="239" t="e">
        <f>MATCH(F30,Data!$TC$1:$UB$1,0)</f>
        <v>#N/A</v>
      </c>
      <c r="AG30" s="239" t="e">
        <f>INDEX(Data!$TC$2:$UB$6,'Cellular Blinds'!AE30,'Cellular Blinds'!AF30)</f>
        <v>#N/A</v>
      </c>
      <c r="AH30" s="33" t="e">
        <f>VLOOKUP(D30,Data!$RU$2:$RV$15,2,FALSE)</f>
        <v>#N/A</v>
      </c>
      <c r="AI30" s="33" t="b">
        <f>IF(D30=Data!$UT$2,Data!$UU$1,IF(D30=Data!$UT$3,Data!$UV$1,IF(D30=Data!$UT$4,Data!$UW$1,IF(D30=Data!$UT$5,Data!$UX$1,IF(D30=Data!$UT$6,Data!$UY$1,IF(D30=Data!$UT$7,Data!$UZ$1,IF(D30=Data!$UT$8,Data!$VA$1,IF(D30=Data!$UT$9,Data!$VB$1,IF(D30=Data!$UT$10,Data!$VC$1,IF(D30=Data!$UT$11,Data!$VD$1,IF(D30=Data!$UT$12,Data!$VD$22,IF(D30=Data!$UT$13,Data!$VD$22,IF(D30=Data!$UT$14,Data!$UU$13,IF(D30=Data!$UT$15,Data!$UV$13))))))))))))))</f>
        <v>0</v>
      </c>
      <c r="AJ30" s="239" t="e">
        <f>MATCH(D30,Data!$VL$27:$VL$40,0)</f>
        <v>#N/A</v>
      </c>
      <c r="AK30" s="239" t="e">
        <f>MATCH(E30,Data!$VM$26:$VQ$26,0)</f>
        <v>#N/A</v>
      </c>
      <c r="AL30" s="239" t="e">
        <f>INDEX(Data!$VM$27:$VQ$40,'Cellular Blinds'!AJ30,'Cellular Blinds'!AK30)</f>
        <v>#N/A</v>
      </c>
      <c r="AM30" s="239" t="e">
        <f>MATCH(D30, Data!$VL$2:$VL$16,0)</f>
        <v>#N/A</v>
      </c>
      <c r="AN30" s="239" t="e">
        <f>MATCH(E30,Data!$VM$1:$VQ$1,0)</f>
        <v>#N/A</v>
      </c>
      <c r="AO30" s="239" t="e">
        <f>INDEX(Data!$VM$2:$VQ$16,'Cellular Blinds'!AM30,'Cellular Blinds'!AN30)</f>
        <v>#N/A</v>
      </c>
      <c r="AP30" s="33" t="e">
        <f>VLOOKUP(P30,Data!$UW$14:$UX$28,2,FALSE)</f>
        <v>#N/A</v>
      </c>
      <c r="AQ30" s="239" t="e">
        <f>MATCH(E30, Data!$XS$2:$XS$6,0)</f>
        <v>#N/A</v>
      </c>
      <c r="AR30" s="239" t="e">
        <f>MATCH(F30,Data!$XT$1:$YR$1,0)</f>
        <v>#N/A</v>
      </c>
      <c r="AS30" s="239" t="e">
        <f>INDEX(Data!$XT$2:$YR$6,'Cellular Blinds'!AQ30,'Cellular Blinds'!AR30)</f>
        <v>#N/A</v>
      </c>
      <c r="AT30" s="239" t="b">
        <f>IF(D30=Data!$YU$2,Data!$YV$1,IF(D30=Data!$YU$3,Data!$YW$1,IF(D30=Data!$YU$4,Data!$YX$1,IF(D30=Data!$YU$5,Data!$YY$1,IF(D30=Data!$YU$6,Data!$YZ$1,IF(D30=Data!$YU$7,Data!$ZA$1,IF(D30=Data!$YU$8,Data!$ZB$1,IF(D30=Data!$YU$9,Data!$ZC$1,IF(D30=Data!$YU$10,Data!$ZD$1,IF(D30=Data!$YU$11,Data!$ZE$1,IF(D30=Data!$YU$12,Data!$ZE$1,IF(D30=Data!$YU$13,Data!$ZE$1,IF(D30=Data!$YU$14,Data!$ZG$11,IF(D30=Data!$YU$15,Data!$ZF$11))))))))))))))</f>
        <v>0</v>
      </c>
      <c r="AU30" s="239" t="str">
        <f>IF(D30="","",IF(E30=Data!$ZI$2,VLOOKUP(D30,Data!$ZK$2:$ZL$15,2,FALSE),IF(E30=Data!$ZI$1,VLOOKUP(D30,Data!$ZQ$2:$ZR$13,2,FALSE),IF(E30=Data!$ZI$3,VLOOKUP(D30,Data!$ZW$2:$ZX$13,2,FALSE),IF(E30=Data!$ZI$4,VLOOKUP(D30,Data!$AAC$2:$AAD$13,2,FALSE),IF(E30=Data!$ZI$5,VLOOKUP(D30,Data!$AAC$26:$AAD$37,2,FALSE)))))))</f>
        <v/>
      </c>
      <c r="AV30" s="251" t="str">
        <f t="shared" si="12"/>
        <v/>
      </c>
      <c r="AW30" s="251" t="str">
        <f t="shared" si="13"/>
        <v/>
      </c>
      <c r="AX30" s="239" t="str">
        <f t="shared" si="14"/>
        <v/>
      </c>
      <c r="BA30" s="33" t="str">
        <f t="shared" si="15"/>
        <v>FittingBoth</v>
      </c>
      <c r="BN30" s="476" t="str">
        <f t="shared" si="1"/>
        <v>UChannelNA</v>
      </c>
      <c r="BO30" s="476" t="e">
        <f t="shared" si="16"/>
        <v>#N/A</v>
      </c>
      <c r="BP30" s="476" t="str">
        <f t="shared" si="17"/>
        <v>No</v>
      </c>
      <c r="BQ30" s="476" t="str">
        <f t="shared" si="18"/>
        <v>No</v>
      </c>
      <c r="BR30" s="476" t="e">
        <f t="shared" si="2"/>
        <v>#N/A</v>
      </c>
      <c r="BU30" s="172">
        <f t="shared" si="19"/>
        <v>2</v>
      </c>
      <c r="CB30" s="33" t="e">
        <f t="shared" si="3"/>
        <v>#N/A</v>
      </c>
      <c r="CC30" s="172" t="b">
        <f t="shared" si="4"/>
        <v>0</v>
      </c>
      <c r="CD30" s="172">
        <f t="shared" si="5"/>
        <v>0</v>
      </c>
      <c r="CE30" s="172">
        <f t="shared" si="6"/>
        <v>0</v>
      </c>
      <c r="CF30" s="172">
        <f t="shared" si="7"/>
        <v>0</v>
      </c>
      <c r="CG30" s="172">
        <f t="shared" si="8"/>
        <v>0</v>
      </c>
      <c r="CL30" s="239" t="str">
        <f>IF(D30="","",IF(E30=Data!$ZI$2,VLOOKUP(D30,Data!$ZK$2:$ZP$15,3,FALSE),IF(E30=Data!$ZI$1,VLOOKUP(D30,Data!$ZQ$2:$ZS$13,3,FALSE),IF(E30=Data!$ZI$3,VLOOKUP(D30,Data!$ZW$2:$AAB$13,3,FALSE),IF(E30=Data!$ZI$4,VLOOKUP(D30,Data!$AAC$2:$AAI$13,3,FALSE),IF(E30=Data!$ZI$5,VLOOKUP(D30,Data!$AAC$26:$AAI$37,3,FALSE)))))))</f>
        <v/>
      </c>
      <c r="CM30" s="251">
        <f t="shared" si="20"/>
        <v>0</v>
      </c>
      <c r="CN30" s="251" t="e">
        <f t="shared" si="21"/>
        <v>#VALUE!</v>
      </c>
      <c r="CO30" s="239" t="e">
        <f t="shared" si="22"/>
        <v>#VALUE!</v>
      </c>
      <c r="CP30" s="239" t="str">
        <f>IF(D30="","",IF(E30=Data!$ZI$2,VLOOKUP(D30,Data!$ZK$2:$ZN$15,4,FALSE),IF(E30=Data!$ZI$1,VLOOKUP(D30,Data!$ZQ$2:$ZT$13,4,FALSE),IF(E30=Data!$ZI$3,VLOOKUP(D30,Data!$ZW$2:$AAC$13,4,FALSE),IF(E30=Data!$ZI$4,VLOOKUP(D30,Data!$AAC$2:$AAJ$13,4,FALSE),IF(E30=Data!$ZI$5,VLOOKUP(D30,Data!$AAC$26:$AAJ$37,4,FALSE)))))))</f>
        <v/>
      </c>
      <c r="CQ30" s="251">
        <f t="shared" si="23"/>
        <v>0</v>
      </c>
      <c r="CR30" s="251" t="e">
        <f t="shared" si="24"/>
        <v>#VALUE!</v>
      </c>
      <c r="CS30" s="239" t="e">
        <f t="shared" si="25"/>
        <v>#VALUE!</v>
      </c>
      <c r="CT30" s="311">
        <f t="shared" si="26"/>
        <v>0</v>
      </c>
      <c r="CU30" s="239" t="str">
        <f>IF(D30="","",IF(E30=Data!$ZI$2,VLOOKUP(D30,Data!$ZK$2:$ZO$15,5,FALSE),IF(E30=Data!$ZI$1,VLOOKUP(D30,Data!$ZQ$2:$ZU$13,5,FALSE),IF(E30=Data!$ZI$3,VLOOKUP(D30,Data!$ZW$2:$AAD$13,5,FALSE),IF(E30=Data!$ZI$4,VLOOKUP(D30,Data!$AAC$2:$AAK$13,5,FALSE),IF(E30=Data!$ZI$5,VLOOKUP(D30,Data!$AAC$26:$AAK$37,5,FALSE)))))))</f>
        <v/>
      </c>
      <c r="CV30" s="251">
        <f t="shared" si="27"/>
        <v>0</v>
      </c>
      <c r="CW30" s="251" t="e">
        <f t="shared" si="28"/>
        <v>#VALUE!</v>
      </c>
      <c r="CX30" s="239" t="e">
        <f t="shared" si="29"/>
        <v>#VALUE!</v>
      </c>
      <c r="CY30" s="239" t="str">
        <f>IF(D30="","",IF(E30=Data!$ZI$2,VLOOKUP(D30,Data!$ZK$2:$ZP$15,6,FALSE),IF(E30=Data!$ZI$1,VLOOKUP(D30,Data!$ZQ$2:$ZV$13,6,FALSE),IF(E30=Data!$ZI$3,VLOOKUP(D30,Data!$ZW$2:$AAE$13,6,FALSE),IF(E30=Data!$ZI$4,VLOOKUP(D30,Data!$AAC$2:$AAL$13,6,FALSE),IF(E30=Data!$ZI$5,VLOOKUP(D30,Data!$AAC$26:$AAL$37,6,FALSE)))))))</f>
        <v/>
      </c>
      <c r="CZ30" s="251">
        <f t="shared" si="30"/>
        <v>0</v>
      </c>
      <c r="DA30" s="251" t="e">
        <f t="shared" si="31"/>
        <v>#VALUE!</v>
      </c>
      <c r="DB30" s="239" t="e">
        <f t="shared" si="32"/>
        <v>#VALUE!</v>
      </c>
      <c r="DC30" s="311">
        <f t="shared" si="33"/>
        <v>0</v>
      </c>
    </row>
    <row r="31" spans="1:107" ht="30" customHeight="1">
      <c r="A31" s="52">
        <v>24</v>
      </c>
      <c r="B31" s="13"/>
      <c r="C31" s="13"/>
      <c r="D31" s="13"/>
      <c r="E31" s="235"/>
      <c r="F31" s="235"/>
      <c r="G31" s="235"/>
      <c r="H31" s="235"/>
      <c r="I31" s="14"/>
      <c r="J31" s="14"/>
      <c r="K31" s="14"/>
      <c r="L31" s="14"/>
      <c r="M31" s="525"/>
      <c r="N31" s="526"/>
      <c r="O31" s="15"/>
      <c r="P31" s="15"/>
      <c r="Q31" s="15"/>
      <c r="R31" s="15"/>
      <c r="S31" s="15"/>
      <c r="T31" s="13" t="str">
        <f t="shared" si="9"/>
        <v/>
      </c>
      <c r="U31" s="253" t="str">
        <f t="shared" si="10"/>
        <v/>
      </c>
      <c r="V31" s="471"/>
      <c r="W31" s="482" t="b">
        <f t="shared" si="11"/>
        <v>0</v>
      </c>
      <c r="X31" s="230"/>
      <c r="Y31" s="253"/>
      <c r="AA31" s="33" t="str">
        <f>IF(SUM(--ISNUMBER(SEARCH({"Skylight"}, D31))),Data!$AJ$19,Data!$AJ$1)</f>
        <v>WindowType</v>
      </c>
      <c r="AB31" s="33" t="str">
        <f t="shared" si="0"/>
        <v>OK</v>
      </c>
      <c r="AE31" s="239" t="e">
        <f>MATCH(E31, Data!$TB$2:$TB$6,0)</f>
        <v>#N/A</v>
      </c>
      <c r="AF31" s="239" t="e">
        <f>MATCH(F31,Data!$TC$1:$UB$1,0)</f>
        <v>#N/A</v>
      </c>
      <c r="AG31" s="239" t="e">
        <f>INDEX(Data!$TC$2:$UB$6,'Cellular Blinds'!AE31,'Cellular Blinds'!AF31)</f>
        <v>#N/A</v>
      </c>
      <c r="AH31" s="33" t="e">
        <f>VLOOKUP(D31,Data!$RU$2:$RV$15,2,FALSE)</f>
        <v>#N/A</v>
      </c>
      <c r="AI31" s="33" t="b">
        <f>IF(D31=Data!$UT$2,Data!$UU$1,IF(D31=Data!$UT$3,Data!$UV$1,IF(D31=Data!$UT$4,Data!$UW$1,IF(D31=Data!$UT$5,Data!$UX$1,IF(D31=Data!$UT$6,Data!$UY$1,IF(D31=Data!$UT$7,Data!$UZ$1,IF(D31=Data!$UT$8,Data!$VA$1,IF(D31=Data!$UT$9,Data!$VB$1,IF(D31=Data!$UT$10,Data!$VC$1,IF(D31=Data!$UT$11,Data!$VD$1,IF(D31=Data!$UT$12,Data!$VD$22,IF(D31=Data!$UT$13,Data!$VD$22,IF(D31=Data!$UT$14,Data!$UU$13,IF(D31=Data!$UT$15,Data!$UV$13))))))))))))))</f>
        <v>0</v>
      </c>
      <c r="AJ31" s="239" t="e">
        <f>MATCH(D31,Data!$VL$27:$VL$40,0)</f>
        <v>#N/A</v>
      </c>
      <c r="AK31" s="239" t="e">
        <f>MATCH(E31,Data!$VM$26:$VQ$26,0)</f>
        <v>#N/A</v>
      </c>
      <c r="AL31" s="239" t="e">
        <f>INDEX(Data!$VM$27:$VQ$40,'Cellular Blinds'!AJ31,'Cellular Blinds'!AK31)</f>
        <v>#N/A</v>
      </c>
      <c r="AM31" s="239" t="e">
        <f>MATCH(D31, Data!$VL$2:$VL$16,0)</f>
        <v>#N/A</v>
      </c>
      <c r="AN31" s="239" t="e">
        <f>MATCH(E31,Data!$VM$1:$VQ$1,0)</f>
        <v>#N/A</v>
      </c>
      <c r="AO31" s="239" t="e">
        <f>INDEX(Data!$VM$2:$VQ$16,'Cellular Blinds'!AM31,'Cellular Blinds'!AN31)</f>
        <v>#N/A</v>
      </c>
      <c r="AP31" s="33" t="e">
        <f>VLOOKUP(P31,Data!$UW$14:$UX$28,2,FALSE)</f>
        <v>#N/A</v>
      </c>
      <c r="AQ31" s="239" t="e">
        <f>MATCH(E31, Data!$XS$2:$XS$6,0)</f>
        <v>#N/A</v>
      </c>
      <c r="AR31" s="239" t="e">
        <f>MATCH(F31,Data!$XT$1:$YR$1,0)</f>
        <v>#N/A</v>
      </c>
      <c r="AS31" s="239" t="e">
        <f>INDEX(Data!$XT$2:$YR$6,'Cellular Blinds'!AQ31,'Cellular Blinds'!AR31)</f>
        <v>#N/A</v>
      </c>
      <c r="AT31" s="239" t="b">
        <f>IF(D31=Data!$YU$2,Data!$YV$1,IF(D31=Data!$YU$3,Data!$YW$1,IF(D31=Data!$YU$4,Data!$YX$1,IF(D31=Data!$YU$5,Data!$YY$1,IF(D31=Data!$YU$6,Data!$YZ$1,IF(D31=Data!$YU$7,Data!$ZA$1,IF(D31=Data!$YU$8,Data!$ZB$1,IF(D31=Data!$YU$9,Data!$ZC$1,IF(D31=Data!$YU$10,Data!$ZD$1,IF(D31=Data!$YU$11,Data!$ZE$1,IF(D31=Data!$YU$12,Data!$ZE$1,IF(D31=Data!$YU$13,Data!$ZE$1,IF(D31=Data!$YU$14,Data!$ZG$11,IF(D31=Data!$YU$15,Data!$ZF$11))))))))))))))</f>
        <v>0</v>
      </c>
      <c r="AU31" s="239" t="str">
        <f>IF(D31="","",IF(E31=Data!$ZI$2,VLOOKUP(D31,Data!$ZK$2:$ZL$15,2,FALSE),IF(E31=Data!$ZI$1,VLOOKUP(D31,Data!$ZQ$2:$ZR$13,2,FALSE),IF(E31=Data!$ZI$3,VLOOKUP(D31,Data!$ZW$2:$ZX$13,2,FALSE),IF(E31=Data!$ZI$4,VLOOKUP(D31,Data!$AAC$2:$AAD$13,2,FALSE),IF(E31=Data!$ZI$5,VLOOKUP(D31,Data!$AAC$26:$AAD$37,2,FALSE)))))))</f>
        <v/>
      </c>
      <c r="AV31" s="251" t="str">
        <f t="shared" si="12"/>
        <v/>
      </c>
      <c r="AW31" s="251" t="str">
        <f t="shared" si="13"/>
        <v/>
      </c>
      <c r="AX31" s="239" t="str">
        <f t="shared" si="14"/>
        <v/>
      </c>
      <c r="BA31" s="33" t="str">
        <f t="shared" si="15"/>
        <v>FittingBoth</v>
      </c>
      <c r="BN31" s="476" t="str">
        <f t="shared" si="1"/>
        <v>UChannelNA</v>
      </c>
      <c r="BO31" s="476" t="e">
        <f t="shared" si="16"/>
        <v>#N/A</v>
      </c>
      <c r="BP31" s="476" t="str">
        <f t="shared" si="17"/>
        <v>No</v>
      </c>
      <c r="BQ31" s="476" t="str">
        <f t="shared" si="18"/>
        <v>No</v>
      </c>
      <c r="BR31" s="476" t="e">
        <f t="shared" si="2"/>
        <v>#N/A</v>
      </c>
      <c r="BU31" s="172">
        <f t="shared" si="19"/>
        <v>2</v>
      </c>
      <c r="CB31" s="33" t="e">
        <f t="shared" si="3"/>
        <v>#N/A</v>
      </c>
      <c r="CC31" s="172" t="b">
        <f t="shared" si="4"/>
        <v>0</v>
      </c>
      <c r="CD31" s="172">
        <f t="shared" si="5"/>
        <v>0</v>
      </c>
      <c r="CE31" s="172">
        <f t="shared" si="6"/>
        <v>0</v>
      </c>
      <c r="CF31" s="172">
        <f t="shared" si="7"/>
        <v>0</v>
      </c>
      <c r="CG31" s="172">
        <f t="shared" si="8"/>
        <v>0</v>
      </c>
      <c r="CL31" s="239" t="str">
        <f>IF(D31="","",IF(E31=Data!$ZI$2,VLOOKUP(D31,Data!$ZK$2:$ZP$15,3,FALSE),IF(E31=Data!$ZI$1,VLOOKUP(D31,Data!$ZQ$2:$ZS$13,3,FALSE),IF(E31=Data!$ZI$3,VLOOKUP(D31,Data!$ZW$2:$AAB$13,3,FALSE),IF(E31=Data!$ZI$4,VLOOKUP(D31,Data!$AAC$2:$AAI$13,3,FALSE),IF(E31=Data!$ZI$5,VLOOKUP(D31,Data!$AAC$26:$AAI$37,3,FALSE)))))))</f>
        <v/>
      </c>
      <c r="CM31" s="251">
        <f t="shared" si="20"/>
        <v>0</v>
      </c>
      <c r="CN31" s="251" t="e">
        <f t="shared" si="21"/>
        <v>#VALUE!</v>
      </c>
      <c r="CO31" s="239" t="e">
        <f t="shared" si="22"/>
        <v>#VALUE!</v>
      </c>
      <c r="CP31" s="239" t="str">
        <f>IF(D31="","",IF(E31=Data!$ZI$2,VLOOKUP(D31,Data!$ZK$2:$ZN$15,4,FALSE),IF(E31=Data!$ZI$1,VLOOKUP(D31,Data!$ZQ$2:$ZT$13,4,FALSE),IF(E31=Data!$ZI$3,VLOOKUP(D31,Data!$ZW$2:$AAC$13,4,FALSE),IF(E31=Data!$ZI$4,VLOOKUP(D31,Data!$AAC$2:$AAJ$13,4,FALSE),IF(E31=Data!$ZI$5,VLOOKUP(D31,Data!$AAC$26:$AAJ$37,4,FALSE)))))))</f>
        <v/>
      </c>
      <c r="CQ31" s="251">
        <f t="shared" si="23"/>
        <v>0</v>
      </c>
      <c r="CR31" s="251" t="e">
        <f t="shared" si="24"/>
        <v>#VALUE!</v>
      </c>
      <c r="CS31" s="239" t="e">
        <f t="shared" si="25"/>
        <v>#VALUE!</v>
      </c>
      <c r="CT31" s="311">
        <f t="shared" si="26"/>
        <v>0</v>
      </c>
      <c r="CU31" s="239" t="str">
        <f>IF(D31="","",IF(E31=Data!$ZI$2,VLOOKUP(D31,Data!$ZK$2:$ZO$15,5,FALSE),IF(E31=Data!$ZI$1,VLOOKUP(D31,Data!$ZQ$2:$ZU$13,5,FALSE),IF(E31=Data!$ZI$3,VLOOKUP(D31,Data!$ZW$2:$AAD$13,5,FALSE),IF(E31=Data!$ZI$4,VLOOKUP(D31,Data!$AAC$2:$AAK$13,5,FALSE),IF(E31=Data!$ZI$5,VLOOKUP(D31,Data!$AAC$26:$AAK$37,5,FALSE)))))))</f>
        <v/>
      </c>
      <c r="CV31" s="251">
        <f t="shared" si="27"/>
        <v>0</v>
      </c>
      <c r="CW31" s="251" t="e">
        <f t="shared" si="28"/>
        <v>#VALUE!</v>
      </c>
      <c r="CX31" s="239" t="e">
        <f t="shared" si="29"/>
        <v>#VALUE!</v>
      </c>
      <c r="CY31" s="239" t="str">
        <f>IF(D31="","",IF(E31=Data!$ZI$2,VLOOKUP(D31,Data!$ZK$2:$ZP$15,6,FALSE),IF(E31=Data!$ZI$1,VLOOKUP(D31,Data!$ZQ$2:$ZV$13,6,FALSE),IF(E31=Data!$ZI$3,VLOOKUP(D31,Data!$ZW$2:$AAE$13,6,FALSE),IF(E31=Data!$ZI$4,VLOOKUP(D31,Data!$AAC$2:$AAL$13,6,FALSE),IF(E31=Data!$ZI$5,VLOOKUP(D31,Data!$AAC$26:$AAL$37,6,FALSE)))))))</f>
        <v/>
      </c>
      <c r="CZ31" s="251">
        <f t="shared" si="30"/>
        <v>0</v>
      </c>
      <c r="DA31" s="251" t="e">
        <f t="shared" si="31"/>
        <v>#VALUE!</v>
      </c>
      <c r="DB31" s="239" t="e">
        <f t="shared" si="32"/>
        <v>#VALUE!</v>
      </c>
      <c r="DC31" s="311">
        <f t="shared" si="33"/>
        <v>0</v>
      </c>
    </row>
    <row r="32" spans="1:107" ht="30" customHeight="1">
      <c r="A32" s="52">
        <v>25</v>
      </c>
      <c r="B32" s="13"/>
      <c r="C32" s="13"/>
      <c r="D32" s="13"/>
      <c r="E32" s="235"/>
      <c r="F32" s="235"/>
      <c r="G32" s="235"/>
      <c r="H32" s="235"/>
      <c r="I32" s="14"/>
      <c r="J32" s="14"/>
      <c r="K32" s="14"/>
      <c r="L32" s="14"/>
      <c r="M32" s="525"/>
      <c r="N32" s="526"/>
      <c r="O32" s="15"/>
      <c r="P32" s="15"/>
      <c r="Q32" s="15"/>
      <c r="R32" s="15"/>
      <c r="S32" s="15"/>
      <c r="T32" s="13" t="str">
        <f t="shared" si="9"/>
        <v/>
      </c>
      <c r="U32" s="253" t="str">
        <f t="shared" si="10"/>
        <v/>
      </c>
      <c r="V32" s="471"/>
      <c r="W32" s="482" t="b">
        <f t="shared" si="11"/>
        <v>0</v>
      </c>
      <c r="X32" s="230"/>
      <c r="Y32" s="253"/>
      <c r="AA32" s="33" t="str">
        <f>IF(SUM(--ISNUMBER(SEARCH({"Skylight"}, D32))),Data!$AJ$19,Data!$AJ$1)</f>
        <v>WindowType</v>
      </c>
      <c r="AB32" s="33" t="str">
        <f t="shared" si="0"/>
        <v>OK</v>
      </c>
      <c r="AE32" s="239" t="e">
        <f>MATCH(E32, Data!$TB$2:$TB$6,0)</f>
        <v>#N/A</v>
      </c>
      <c r="AF32" s="239" t="e">
        <f>MATCH(F32,Data!$TC$1:$UB$1,0)</f>
        <v>#N/A</v>
      </c>
      <c r="AG32" s="239" t="e">
        <f>INDEX(Data!$TC$2:$UB$6,'Cellular Blinds'!AE32,'Cellular Blinds'!AF32)</f>
        <v>#N/A</v>
      </c>
      <c r="AH32" s="33" t="e">
        <f>VLOOKUP(D32,Data!$RU$2:$RV$15,2,FALSE)</f>
        <v>#N/A</v>
      </c>
      <c r="AI32" s="33" t="b">
        <f>IF(D32=Data!$UT$2,Data!$UU$1,IF(D32=Data!$UT$3,Data!$UV$1,IF(D32=Data!$UT$4,Data!$UW$1,IF(D32=Data!$UT$5,Data!$UX$1,IF(D32=Data!$UT$6,Data!$UY$1,IF(D32=Data!$UT$7,Data!$UZ$1,IF(D32=Data!$UT$8,Data!$VA$1,IF(D32=Data!$UT$9,Data!$VB$1,IF(D32=Data!$UT$10,Data!$VC$1,IF(D32=Data!$UT$11,Data!$VD$1,IF(D32=Data!$UT$12,Data!$VD$22,IF(D32=Data!$UT$13,Data!$VD$22,IF(D32=Data!$UT$14,Data!$UU$13,IF(D32=Data!$UT$15,Data!$UV$13))))))))))))))</f>
        <v>0</v>
      </c>
      <c r="AJ32" s="239" t="e">
        <f>MATCH(D32,Data!$VL$27:$VL$40,0)</f>
        <v>#N/A</v>
      </c>
      <c r="AK32" s="239" t="e">
        <f>MATCH(E32,Data!$VM$26:$VQ$26,0)</f>
        <v>#N/A</v>
      </c>
      <c r="AL32" s="239" t="e">
        <f>INDEX(Data!$VM$27:$VQ$40,'Cellular Blinds'!AJ32,'Cellular Blinds'!AK32)</f>
        <v>#N/A</v>
      </c>
      <c r="AM32" s="239" t="e">
        <f>MATCH(D32, Data!$VL$2:$VL$16,0)</f>
        <v>#N/A</v>
      </c>
      <c r="AN32" s="239" t="e">
        <f>MATCH(E32,Data!$VM$1:$VQ$1,0)</f>
        <v>#N/A</v>
      </c>
      <c r="AO32" s="239" t="e">
        <f>INDEX(Data!$VM$2:$VQ$16,'Cellular Blinds'!AM32,'Cellular Blinds'!AN32)</f>
        <v>#N/A</v>
      </c>
      <c r="AP32" s="33" t="e">
        <f>VLOOKUP(P32,Data!$UW$14:$UX$28,2,FALSE)</f>
        <v>#N/A</v>
      </c>
      <c r="AQ32" s="239" t="e">
        <f>MATCH(E32, Data!$XS$2:$XS$6,0)</f>
        <v>#N/A</v>
      </c>
      <c r="AR32" s="239" t="e">
        <f>MATCH(F32,Data!$XT$1:$YR$1,0)</f>
        <v>#N/A</v>
      </c>
      <c r="AS32" s="239" t="e">
        <f>INDEX(Data!$XT$2:$YR$6,'Cellular Blinds'!AQ32,'Cellular Blinds'!AR32)</f>
        <v>#N/A</v>
      </c>
      <c r="AT32" s="239" t="b">
        <f>IF(D32=Data!$YU$2,Data!$YV$1,IF(D32=Data!$YU$3,Data!$YW$1,IF(D32=Data!$YU$4,Data!$YX$1,IF(D32=Data!$YU$5,Data!$YY$1,IF(D32=Data!$YU$6,Data!$YZ$1,IF(D32=Data!$YU$7,Data!$ZA$1,IF(D32=Data!$YU$8,Data!$ZB$1,IF(D32=Data!$YU$9,Data!$ZC$1,IF(D32=Data!$YU$10,Data!$ZD$1,IF(D32=Data!$YU$11,Data!$ZE$1,IF(D32=Data!$YU$12,Data!$ZE$1,IF(D32=Data!$YU$13,Data!$ZE$1,IF(D32=Data!$YU$14,Data!$ZG$11,IF(D32=Data!$YU$15,Data!$ZF$11))))))))))))))</f>
        <v>0</v>
      </c>
      <c r="AU32" s="239" t="str">
        <f>IF(D32="","",IF(E32=Data!$ZI$2,VLOOKUP(D32,Data!$ZK$2:$ZL$15,2,FALSE),IF(E32=Data!$ZI$1,VLOOKUP(D32,Data!$ZQ$2:$ZR$13,2,FALSE),IF(E32=Data!$ZI$3,VLOOKUP(D32,Data!$ZW$2:$ZX$13,2,FALSE),IF(E32=Data!$ZI$4,VLOOKUP(D32,Data!$AAC$2:$AAD$13,2,FALSE),IF(E32=Data!$ZI$5,VLOOKUP(D32,Data!$AAC$26:$AAD$37,2,FALSE)))))))</f>
        <v/>
      </c>
      <c r="AV32" s="251" t="str">
        <f t="shared" si="12"/>
        <v/>
      </c>
      <c r="AW32" s="251" t="str">
        <f t="shared" si="13"/>
        <v/>
      </c>
      <c r="AX32" s="239" t="str">
        <f t="shared" si="14"/>
        <v/>
      </c>
      <c r="BA32" s="33" t="str">
        <f t="shared" si="15"/>
        <v>FittingBoth</v>
      </c>
      <c r="BN32" s="476" t="str">
        <f t="shared" si="1"/>
        <v>UChannelNA</v>
      </c>
      <c r="BO32" s="476" t="e">
        <f t="shared" si="16"/>
        <v>#N/A</v>
      </c>
      <c r="BP32" s="476" t="str">
        <f t="shared" si="17"/>
        <v>No</v>
      </c>
      <c r="BQ32" s="476" t="str">
        <f t="shared" si="18"/>
        <v>No</v>
      </c>
      <c r="BR32" s="476" t="e">
        <f t="shared" si="2"/>
        <v>#N/A</v>
      </c>
      <c r="BU32" s="172">
        <f t="shared" si="19"/>
        <v>2</v>
      </c>
      <c r="CB32" s="33" t="e">
        <f t="shared" si="3"/>
        <v>#N/A</v>
      </c>
      <c r="CC32" s="172" t="b">
        <f t="shared" si="4"/>
        <v>0</v>
      </c>
      <c r="CD32" s="172">
        <f t="shared" si="5"/>
        <v>0</v>
      </c>
      <c r="CE32" s="172">
        <f t="shared" si="6"/>
        <v>0</v>
      </c>
      <c r="CF32" s="172">
        <f t="shared" si="7"/>
        <v>0</v>
      </c>
      <c r="CG32" s="172">
        <f t="shared" si="8"/>
        <v>0</v>
      </c>
      <c r="CL32" s="239" t="str">
        <f>IF(D32="","",IF(E32=Data!$ZI$2,VLOOKUP(D32,Data!$ZK$2:$ZP$15,3,FALSE),IF(E32=Data!$ZI$1,VLOOKUP(D32,Data!$ZQ$2:$ZS$13,3,FALSE),IF(E32=Data!$ZI$3,VLOOKUP(D32,Data!$ZW$2:$AAB$13,3,FALSE),IF(E32=Data!$ZI$4,VLOOKUP(D32,Data!$AAC$2:$AAI$13,3,FALSE),IF(E32=Data!$ZI$5,VLOOKUP(D32,Data!$AAC$26:$AAI$37,3,FALSE)))))))</f>
        <v/>
      </c>
      <c r="CM32" s="251">
        <f t="shared" si="20"/>
        <v>0</v>
      </c>
      <c r="CN32" s="251" t="e">
        <f t="shared" si="21"/>
        <v>#VALUE!</v>
      </c>
      <c r="CO32" s="239" t="e">
        <f t="shared" si="22"/>
        <v>#VALUE!</v>
      </c>
      <c r="CP32" s="239" t="str">
        <f>IF(D32="","",IF(E32=Data!$ZI$2,VLOOKUP(D32,Data!$ZK$2:$ZN$15,4,FALSE),IF(E32=Data!$ZI$1,VLOOKUP(D32,Data!$ZQ$2:$ZT$13,4,FALSE),IF(E32=Data!$ZI$3,VLOOKUP(D32,Data!$ZW$2:$AAC$13,4,FALSE),IF(E32=Data!$ZI$4,VLOOKUP(D32,Data!$AAC$2:$AAJ$13,4,FALSE),IF(E32=Data!$ZI$5,VLOOKUP(D32,Data!$AAC$26:$AAJ$37,4,FALSE)))))))</f>
        <v/>
      </c>
      <c r="CQ32" s="251">
        <f t="shared" si="23"/>
        <v>0</v>
      </c>
      <c r="CR32" s="251" t="e">
        <f t="shared" si="24"/>
        <v>#VALUE!</v>
      </c>
      <c r="CS32" s="239" t="e">
        <f t="shared" si="25"/>
        <v>#VALUE!</v>
      </c>
      <c r="CT32" s="311">
        <f t="shared" si="26"/>
        <v>0</v>
      </c>
      <c r="CU32" s="239" t="str">
        <f>IF(D32="","",IF(E32=Data!$ZI$2,VLOOKUP(D32,Data!$ZK$2:$ZO$15,5,FALSE),IF(E32=Data!$ZI$1,VLOOKUP(D32,Data!$ZQ$2:$ZU$13,5,FALSE),IF(E32=Data!$ZI$3,VLOOKUP(D32,Data!$ZW$2:$AAD$13,5,FALSE),IF(E32=Data!$ZI$4,VLOOKUP(D32,Data!$AAC$2:$AAK$13,5,FALSE),IF(E32=Data!$ZI$5,VLOOKUP(D32,Data!$AAC$26:$AAK$37,5,FALSE)))))))</f>
        <v/>
      </c>
      <c r="CV32" s="251">
        <f t="shared" si="27"/>
        <v>0</v>
      </c>
      <c r="CW32" s="251" t="e">
        <f t="shared" si="28"/>
        <v>#VALUE!</v>
      </c>
      <c r="CX32" s="239" t="e">
        <f t="shared" si="29"/>
        <v>#VALUE!</v>
      </c>
      <c r="CY32" s="239" t="str">
        <f>IF(D32="","",IF(E32=Data!$ZI$2,VLOOKUP(D32,Data!$ZK$2:$ZP$15,6,FALSE),IF(E32=Data!$ZI$1,VLOOKUP(D32,Data!$ZQ$2:$ZV$13,6,FALSE),IF(E32=Data!$ZI$3,VLOOKUP(D32,Data!$ZW$2:$AAE$13,6,FALSE),IF(E32=Data!$ZI$4,VLOOKUP(D32,Data!$AAC$2:$AAL$13,6,FALSE),IF(E32=Data!$ZI$5,VLOOKUP(D32,Data!$AAC$26:$AAL$37,6,FALSE)))))))</f>
        <v/>
      </c>
      <c r="CZ32" s="251">
        <f t="shared" si="30"/>
        <v>0</v>
      </c>
      <c r="DA32" s="251" t="e">
        <f t="shared" si="31"/>
        <v>#VALUE!</v>
      </c>
      <c r="DB32" s="239" t="e">
        <f t="shared" si="32"/>
        <v>#VALUE!</v>
      </c>
      <c r="DC32" s="311">
        <f t="shared" si="33"/>
        <v>0</v>
      </c>
    </row>
    <row r="33" spans="1:107" ht="30" customHeight="1">
      <c r="A33" s="52">
        <v>26</v>
      </c>
      <c r="B33" s="13"/>
      <c r="C33" s="13"/>
      <c r="D33" s="13"/>
      <c r="E33" s="235"/>
      <c r="F33" s="235"/>
      <c r="G33" s="235"/>
      <c r="H33" s="235"/>
      <c r="I33" s="14"/>
      <c r="J33" s="14"/>
      <c r="K33" s="14"/>
      <c r="L33" s="14"/>
      <c r="M33" s="525"/>
      <c r="N33" s="526"/>
      <c r="O33" s="15"/>
      <c r="P33" s="15"/>
      <c r="Q33" s="15"/>
      <c r="R33" s="15"/>
      <c r="S33" s="15"/>
      <c r="T33" s="13" t="str">
        <f t="shared" si="9"/>
        <v/>
      </c>
      <c r="U33" s="253" t="str">
        <f t="shared" si="10"/>
        <v/>
      </c>
      <c r="V33" s="471"/>
      <c r="W33" s="482" t="b">
        <f t="shared" si="11"/>
        <v>0</v>
      </c>
      <c r="X33" s="230"/>
      <c r="Y33" s="253"/>
      <c r="AA33" s="33" t="str">
        <f>IF(SUM(--ISNUMBER(SEARCH({"Skylight"}, D33))),Data!$AJ$19,Data!$AJ$1)</f>
        <v>WindowType</v>
      </c>
      <c r="AB33" s="33" t="str">
        <f t="shared" si="0"/>
        <v>OK</v>
      </c>
      <c r="AE33" s="239" t="e">
        <f>MATCH(E33, Data!$TB$2:$TB$6,0)</f>
        <v>#N/A</v>
      </c>
      <c r="AF33" s="239" t="e">
        <f>MATCH(F33,Data!$TC$1:$UB$1,0)</f>
        <v>#N/A</v>
      </c>
      <c r="AG33" s="239" t="e">
        <f>INDEX(Data!$TC$2:$UB$6,'Cellular Blinds'!AE33,'Cellular Blinds'!AF33)</f>
        <v>#N/A</v>
      </c>
      <c r="AH33" s="33" t="e">
        <f>VLOOKUP(D33,Data!$RU$2:$RV$15,2,FALSE)</f>
        <v>#N/A</v>
      </c>
      <c r="AI33" s="33" t="b">
        <f>IF(D33=Data!$UT$2,Data!$UU$1,IF(D33=Data!$UT$3,Data!$UV$1,IF(D33=Data!$UT$4,Data!$UW$1,IF(D33=Data!$UT$5,Data!$UX$1,IF(D33=Data!$UT$6,Data!$UY$1,IF(D33=Data!$UT$7,Data!$UZ$1,IF(D33=Data!$UT$8,Data!$VA$1,IF(D33=Data!$UT$9,Data!$VB$1,IF(D33=Data!$UT$10,Data!$VC$1,IF(D33=Data!$UT$11,Data!$VD$1,IF(D33=Data!$UT$12,Data!$VD$22,IF(D33=Data!$UT$13,Data!$VD$22,IF(D33=Data!$UT$14,Data!$UU$13,IF(D33=Data!$UT$15,Data!$UV$13))))))))))))))</f>
        <v>0</v>
      </c>
      <c r="AJ33" s="239" t="e">
        <f>MATCH(D33,Data!$VL$27:$VL$40,0)</f>
        <v>#N/A</v>
      </c>
      <c r="AK33" s="239" t="e">
        <f>MATCH(E33,Data!$VM$26:$VQ$26,0)</f>
        <v>#N/A</v>
      </c>
      <c r="AL33" s="239" t="e">
        <f>INDEX(Data!$VM$27:$VQ$40,'Cellular Blinds'!AJ33,'Cellular Blinds'!AK33)</f>
        <v>#N/A</v>
      </c>
      <c r="AM33" s="239" t="e">
        <f>MATCH(D33, Data!$VL$2:$VL$16,0)</f>
        <v>#N/A</v>
      </c>
      <c r="AN33" s="239" t="e">
        <f>MATCH(E33,Data!$VM$1:$VQ$1,0)</f>
        <v>#N/A</v>
      </c>
      <c r="AO33" s="239" t="e">
        <f>INDEX(Data!$VM$2:$VQ$16,'Cellular Blinds'!AM33,'Cellular Blinds'!AN33)</f>
        <v>#N/A</v>
      </c>
      <c r="AP33" s="33" t="e">
        <f>VLOOKUP(P33,Data!$UW$14:$UX$28,2,FALSE)</f>
        <v>#N/A</v>
      </c>
      <c r="AQ33" s="239" t="e">
        <f>MATCH(E33, Data!$XS$2:$XS$6,0)</f>
        <v>#N/A</v>
      </c>
      <c r="AR33" s="239" t="e">
        <f>MATCH(F33,Data!$XT$1:$YR$1,0)</f>
        <v>#N/A</v>
      </c>
      <c r="AS33" s="239" t="e">
        <f>INDEX(Data!$XT$2:$YR$6,'Cellular Blinds'!AQ33,'Cellular Blinds'!AR33)</f>
        <v>#N/A</v>
      </c>
      <c r="AT33" s="239" t="b">
        <f>IF(D33=Data!$YU$2,Data!$YV$1,IF(D33=Data!$YU$3,Data!$YW$1,IF(D33=Data!$YU$4,Data!$YX$1,IF(D33=Data!$YU$5,Data!$YY$1,IF(D33=Data!$YU$6,Data!$YZ$1,IF(D33=Data!$YU$7,Data!$ZA$1,IF(D33=Data!$YU$8,Data!$ZB$1,IF(D33=Data!$YU$9,Data!$ZC$1,IF(D33=Data!$YU$10,Data!$ZD$1,IF(D33=Data!$YU$11,Data!$ZE$1,IF(D33=Data!$YU$12,Data!$ZE$1,IF(D33=Data!$YU$13,Data!$ZE$1,IF(D33=Data!$YU$14,Data!$ZG$11,IF(D33=Data!$YU$15,Data!$ZF$11))))))))))))))</f>
        <v>0</v>
      </c>
      <c r="AU33" s="239" t="str">
        <f>IF(D33="","",IF(E33=Data!$ZI$2,VLOOKUP(D33,Data!$ZK$2:$ZL$15,2,FALSE),IF(E33=Data!$ZI$1,VLOOKUP(D33,Data!$ZQ$2:$ZR$13,2,FALSE),IF(E33=Data!$ZI$3,VLOOKUP(D33,Data!$ZW$2:$ZX$13,2,FALSE),IF(E33=Data!$ZI$4,VLOOKUP(D33,Data!$AAC$2:$AAD$13,2,FALSE),IF(E33=Data!$ZI$5,VLOOKUP(D33,Data!$AAC$26:$AAD$37,2,FALSE)))))))</f>
        <v/>
      </c>
      <c r="AV33" s="251" t="str">
        <f t="shared" si="12"/>
        <v/>
      </c>
      <c r="AW33" s="251" t="str">
        <f t="shared" si="13"/>
        <v/>
      </c>
      <c r="AX33" s="239" t="str">
        <f t="shared" si="14"/>
        <v/>
      </c>
      <c r="BA33" s="33" t="str">
        <f t="shared" si="15"/>
        <v>FittingBoth</v>
      </c>
      <c r="BN33" s="476" t="str">
        <f t="shared" si="1"/>
        <v>UChannelNA</v>
      </c>
      <c r="BO33" s="476" t="e">
        <f t="shared" si="16"/>
        <v>#N/A</v>
      </c>
      <c r="BP33" s="476" t="str">
        <f t="shared" si="17"/>
        <v>No</v>
      </c>
      <c r="BQ33" s="476" t="str">
        <f t="shared" si="18"/>
        <v>No</v>
      </c>
      <c r="BR33" s="476" t="e">
        <f t="shared" si="2"/>
        <v>#N/A</v>
      </c>
      <c r="BU33" s="172">
        <f t="shared" si="19"/>
        <v>2</v>
      </c>
      <c r="CB33" s="33" t="e">
        <f t="shared" si="3"/>
        <v>#N/A</v>
      </c>
      <c r="CC33" s="172" t="b">
        <f t="shared" si="4"/>
        <v>0</v>
      </c>
      <c r="CD33" s="172">
        <f t="shared" si="5"/>
        <v>0</v>
      </c>
      <c r="CE33" s="172">
        <f t="shared" si="6"/>
        <v>0</v>
      </c>
      <c r="CF33" s="172">
        <f t="shared" si="7"/>
        <v>0</v>
      </c>
      <c r="CG33" s="172">
        <f t="shared" si="8"/>
        <v>0</v>
      </c>
      <c r="CL33" s="239" t="str">
        <f>IF(D33="","",IF(E33=Data!$ZI$2,VLOOKUP(D33,Data!$ZK$2:$ZP$15,3,FALSE),IF(E33=Data!$ZI$1,VLOOKUP(D33,Data!$ZQ$2:$ZS$13,3,FALSE),IF(E33=Data!$ZI$3,VLOOKUP(D33,Data!$ZW$2:$AAB$13,3,FALSE),IF(E33=Data!$ZI$4,VLOOKUP(D33,Data!$AAC$2:$AAI$13,3,FALSE),IF(E33=Data!$ZI$5,VLOOKUP(D33,Data!$AAC$26:$AAI$37,3,FALSE)))))))</f>
        <v/>
      </c>
      <c r="CM33" s="251">
        <f t="shared" si="20"/>
        <v>0</v>
      </c>
      <c r="CN33" s="251" t="e">
        <f t="shared" si="21"/>
        <v>#VALUE!</v>
      </c>
      <c r="CO33" s="239" t="e">
        <f t="shared" si="22"/>
        <v>#VALUE!</v>
      </c>
      <c r="CP33" s="239" t="str">
        <f>IF(D33="","",IF(E33=Data!$ZI$2,VLOOKUP(D33,Data!$ZK$2:$ZN$15,4,FALSE),IF(E33=Data!$ZI$1,VLOOKUP(D33,Data!$ZQ$2:$ZT$13,4,FALSE),IF(E33=Data!$ZI$3,VLOOKUP(D33,Data!$ZW$2:$AAC$13,4,FALSE),IF(E33=Data!$ZI$4,VLOOKUP(D33,Data!$AAC$2:$AAJ$13,4,FALSE),IF(E33=Data!$ZI$5,VLOOKUP(D33,Data!$AAC$26:$AAJ$37,4,FALSE)))))))</f>
        <v/>
      </c>
      <c r="CQ33" s="251">
        <f t="shared" si="23"/>
        <v>0</v>
      </c>
      <c r="CR33" s="251" t="e">
        <f t="shared" si="24"/>
        <v>#VALUE!</v>
      </c>
      <c r="CS33" s="239" t="e">
        <f t="shared" si="25"/>
        <v>#VALUE!</v>
      </c>
      <c r="CT33" s="311">
        <f t="shared" si="26"/>
        <v>0</v>
      </c>
      <c r="CU33" s="239" t="str">
        <f>IF(D33="","",IF(E33=Data!$ZI$2,VLOOKUP(D33,Data!$ZK$2:$ZO$15,5,FALSE),IF(E33=Data!$ZI$1,VLOOKUP(D33,Data!$ZQ$2:$ZU$13,5,FALSE),IF(E33=Data!$ZI$3,VLOOKUP(D33,Data!$ZW$2:$AAD$13,5,FALSE),IF(E33=Data!$ZI$4,VLOOKUP(D33,Data!$AAC$2:$AAK$13,5,FALSE),IF(E33=Data!$ZI$5,VLOOKUP(D33,Data!$AAC$26:$AAK$37,5,FALSE)))))))</f>
        <v/>
      </c>
      <c r="CV33" s="251">
        <f t="shared" si="27"/>
        <v>0</v>
      </c>
      <c r="CW33" s="251" t="e">
        <f t="shared" si="28"/>
        <v>#VALUE!</v>
      </c>
      <c r="CX33" s="239" t="e">
        <f t="shared" si="29"/>
        <v>#VALUE!</v>
      </c>
      <c r="CY33" s="239" t="str">
        <f>IF(D33="","",IF(E33=Data!$ZI$2,VLOOKUP(D33,Data!$ZK$2:$ZP$15,6,FALSE),IF(E33=Data!$ZI$1,VLOOKUP(D33,Data!$ZQ$2:$ZV$13,6,FALSE),IF(E33=Data!$ZI$3,VLOOKUP(D33,Data!$ZW$2:$AAE$13,6,FALSE),IF(E33=Data!$ZI$4,VLOOKUP(D33,Data!$AAC$2:$AAL$13,6,FALSE),IF(E33=Data!$ZI$5,VLOOKUP(D33,Data!$AAC$26:$AAL$37,6,FALSE)))))))</f>
        <v/>
      </c>
      <c r="CZ33" s="251">
        <f t="shared" si="30"/>
        <v>0</v>
      </c>
      <c r="DA33" s="251" t="e">
        <f t="shared" si="31"/>
        <v>#VALUE!</v>
      </c>
      <c r="DB33" s="239" t="e">
        <f t="shared" si="32"/>
        <v>#VALUE!</v>
      </c>
      <c r="DC33" s="311">
        <f t="shared" si="33"/>
        <v>0</v>
      </c>
    </row>
    <row r="34" spans="1:107" ht="30" customHeight="1">
      <c r="A34" s="52">
        <v>27</v>
      </c>
      <c r="B34" s="19"/>
      <c r="C34" s="13"/>
      <c r="D34" s="13"/>
      <c r="E34" s="235"/>
      <c r="F34" s="235"/>
      <c r="G34" s="235"/>
      <c r="H34" s="235"/>
      <c r="I34" s="14"/>
      <c r="J34" s="14"/>
      <c r="K34" s="14"/>
      <c r="L34" s="14"/>
      <c r="M34" s="525"/>
      <c r="N34" s="526"/>
      <c r="O34" s="15"/>
      <c r="P34" s="15"/>
      <c r="Q34" s="15"/>
      <c r="R34" s="15"/>
      <c r="S34" s="15"/>
      <c r="T34" s="13" t="str">
        <f t="shared" si="9"/>
        <v/>
      </c>
      <c r="U34" s="253" t="str">
        <f t="shared" si="10"/>
        <v/>
      </c>
      <c r="V34" s="471"/>
      <c r="W34" s="482" t="b">
        <f t="shared" si="11"/>
        <v>0</v>
      </c>
      <c r="X34" s="230"/>
      <c r="Y34" s="253"/>
      <c r="AA34" s="33" t="str">
        <f>IF(SUM(--ISNUMBER(SEARCH({"Skylight"}, D34))),Data!$AJ$19,Data!$AJ$1)</f>
        <v>WindowType</v>
      </c>
      <c r="AB34" s="33" t="str">
        <f t="shared" si="0"/>
        <v>OK</v>
      </c>
      <c r="AE34" s="239" t="e">
        <f>MATCH(E34, Data!$TB$2:$TB$6,0)</f>
        <v>#N/A</v>
      </c>
      <c r="AF34" s="239" t="e">
        <f>MATCH(F34,Data!$TC$1:$UB$1,0)</f>
        <v>#N/A</v>
      </c>
      <c r="AG34" s="239" t="e">
        <f>INDEX(Data!$TC$2:$UB$6,'Cellular Blinds'!AE34,'Cellular Blinds'!AF34)</f>
        <v>#N/A</v>
      </c>
      <c r="AH34" s="33" t="e">
        <f>VLOOKUP(D34,Data!$RU$2:$RV$15,2,FALSE)</f>
        <v>#N/A</v>
      </c>
      <c r="AI34" s="33" t="b">
        <f>IF(D34=Data!$UT$2,Data!$UU$1,IF(D34=Data!$UT$3,Data!$UV$1,IF(D34=Data!$UT$4,Data!$UW$1,IF(D34=Data!$UT$5,Data!$UX$1,IF(D34=Data!$UT$6,Data!$UY$1,IF(D34=Data!$UT$7,Data!$UZ$1,IF(D34=Data!$UT$8,Data!$VA$1,IF(D34=Data!$UT$9,Data!$VB$1,IF(D34=Data!$UT$10,Data!$VC$1,IF(D34=Data!$UT$11,Data!$VD$1,IF(D34=Data!$UT$12,Data!$VD$22,IF(D34=Data!$UT$13,Data!$VD$22,IF(D34=Data!$UT$14,Data!$UU$13,IF(D34=Data!$UT$15,Data!$UV$13))))))))))))))</f>
        <v>0</v>
      </c>
      <c r="AJ34" s="239" t="e">
        <f>MATCH(D34,Data!$VL$27:$VL$40,0)</f>
        <v>#N/A</v>
      </c>
      <c r="AK34" s="239" t="e">
        <f>MATCH(E34,Data!$VM$26:$VQ$26,0)</f>
        <v>#N/A</v>
      </c>
      <c r="AL34" s="239" t="e">
        <f>INDEX(Data!$VM$27:$VQ$40,'Cellular Blinds'!AJ34,'Cellular Blinds'!AK34)</f>
        <v>#N/A</v>
      </c>
      <c r="AM34" s="239" t="e">
        <f>MATCH(D34, Data!$VL$2:$VL$16,0)</f>
        <v>#N/A</v>
      </c>
      <c r="AN34" s="239" t="e">
        <f>MATCH(E34,Data!$VM$1:$VQ$1,0)</f>
        <v>#N/A</v>
      </c>
      <c r="AO34" s="239" t="e">
        <f>INDEX(Data!$VM$2:$VQ$16,'Cellular Blinds'!AM34,'Cellular Blinds'!AN34)</f>
        <v>#N/A</v>
      </c>
      <c r="AP34" s="33" t="e">
        <f>VLOOKUP(P34,Data!$UW$14:$UX$28,2,FALSE)</f>
        <v>#N/A</v>
      </c>
      <c r="AQ34" s="239" t="e">
        <f>MATCH(E34, Data!$XS$2:$XS$6,0)</f>
        <v>#N/A</v>
      </c>
      <c r="AR34" s="239" t="e">
        <f>MATCH(F34,Data!$XT$1:$YR$1,0)</f>
        <v>#N/A</v>
      </c>
      <c r="AS34" s="239" t="e">
        <f>INDEX(Data!$XT$2:$YR$6,'Cellular Blinds'!AQ34,'Cellular Blinds'!AR34)</f>
        <v>#N/A</v>
      </c>
      <c r="AT34" s="239" t="b">
        <f>IF(D34=Data!$YU$2,Data!$YV$1,IF(D34=Data!$YU$3,Data!$YW$1,IF(D34=Data!$YU$4,Data!$YX$1,IF(D34=Data!$YU$5,Data!$YY$1,IF(D34=Data!$YU$6,Data!$YZ$1,IF(D34=Data!$YU$7,Data!$ZA$1,IF(D34=Data!$YU$8,Data!$ZB$1,IF(D34=Data!$YU$9,Data!$ZC$1,IF(D34=Data!$YU$10,Data!$ZD$1,IF(D34=Data!$YU$11,Data!$ZE$1,IF(D34=Data!$YU$12,Data!$ZE$1,IF(D34=Data!$YU$13,Data!$ZE$1,IF(D34=Data!$YU$14,Data!$ZG$11,IF(D34=Data!$YU$15,Data!$ZF$11))))))))))))))</f>
        <v>0</v>
      </c>
      <c r="AU34" s="239" t="str">
        <f>IF(D34="","",IF(E34=Data!$ZI$2,VLOOKUP(D34,Data!$ZK$2:$ZL$15,2,FALSE),IF(E34=Data!$ZI$1,VLOOKUP(D34,Data!$ZQ$2:$ZR$13,2,FALSE),IF(E34=Data!$ZI$3,VLOOKUP(D34,Data!$ZW$2:$ZX$13,2,FALSE),IF(E34=Data!$ZI$4,VLOOKUP(D34,Data!$AAC$2:$AAD$13,2,FALSE),IF(E34=Data!$ZI$5,VLOOKUP(D34,Data!$AAC$26:$AAD$37,2,FALSE)))))))</f>
        <v/>
      </c>
      <c r="AV34" s="251" t="str">
        <f t="shared" si="12"/>
        <v/>
      </c>
      <c r="AW34" s="251" t="str">
        <f t="shared" si="13"/>
        <v/>
      </c>
      <c r="AX34" s="239" t="str">
        <f t="shared" si="14"/>
        <v/>
      </c>
      <c r="BA34" s="33" t="str">
        <f t="shared" si="15"/>
        <v>FittingBoth</v>
      </c>
      <c r="BN34" s="476" t="str">
        <f t="shared" si="1"/>
        <v>UChannelNA</v>
      </c>
      <c r="BO34" s="476" t="e">
        <f t="shared" si="16"/>
        <v>#N/A</v>
      </c>
      <c r="BP34" s="476" t="str">
        <f t="shared" si="17"/>
        <v>No</v>
      </c>
      <c r="BQ34" s="476" t="str">
        <f t="shared" si="18"/>
        <v>No</v>
      </c>
      <c r="BR34" s="476" t="e">
        <f t="shared" si="2"/>
        <v>#N/A</v>
      </c>
      <c r="BU34" s="172">
        <f t="shared" si="19"/>
        <v>2</v>
      </c>
      <c r="CB34" s="33" t="e">
        <f t="shared" si="3"/>
        <v>#N/A</v>
      </c>
      <c r="CC34" s="172" t="b">
        <f t="shared" si="4"/>
        <v>0</v>
      </c>
      <c r="CD34" s="172">
        <f t="shared" si="5"/>
        <v>0</v>
      </c>
      <c r="CE34" s="172">
        <f t="shared" si="6"/>
        <v>0</v>
      </c>
      <c r="CF34" s="172">
        <f t="shared" si="7"/>
        <v>0</v>
      </c>
      <c r="CG34" s="172">
        <f t="shared" si="8"/>
        <v>0</v>
      </c>
      <c r="CL34" s="239" t="str">
        <f>IF(D34="","",IF(E34=Data!$ZI$2,VLOOKUP(D34,Data!$ZK$2:$ZP$15,3,FALSE),IF(E34=Data!$ZI$1,VLOOKUP(D34,Data!$ZQ$2:$ZS$13,3,FALSE),IF(E34=Data!$ZI$3,VLOOKUP(D34,Data!$ZW$2:$AAB$13,3,FALSE),IF(E34=Data!$ZI$4,VLOOKUP(D34,Data!$AAC$2:$AAI$13,3,FALSE),IF(E34=Data!$ZI$5,VLOOKUP(D34,Data!$AAC$26:$AAI$37,3,FALSE)))))))</f>
        <v/>
      </c>
      <c r="CM34" s="251">
        <f t="shared" si="20"/>
        <v>0</v>
      </c>
      <c r="CN34" s="251" t="e">
        <f t="shared" si="21"/>
        <v>#VALUE!</v>
      </c>
      <c r="CO34" s="239" t="e">
        <f t="shared" si="22"/>
        <v>#VALUE!</v>
      </c>
      <c r="CP34" s="239" t="str">
        <f>IF(D34="","",IF(E34=Data!$ZI$2,VLOOKUP(D34,Data!$ZK$2:$ZN$15,4,FALSE),IF(E34=Data!$ZI$1,VLOOKUP(D34,Data!$ZQ$2:$ZT$13,4,FALSE),IF(E34=Data!$ZI$3,VLOOKUP(D34,Data!$ZW$2:$AAC$13,4,FALSE),IF(E34=Data!$ZI$4,VLOOKUP(D34,Data!$AAC$2:$AAJ$13,4,FALSE),IF(E34=Data!$ZI$5,VLOOKUP(D34,Data!$AAC$26:$AAJ$37,4,FALSE)))))))</f>
        <v/>
      </c>
      <c r="CQ34" s="251">
        <f t="shared" si="23"/>
        <v>0</v>
      </c>
      <c r="CR34" s="251" t="e">
        <f t="shared" si="24"/>
        <v>#VALUE!</v>
      </c>
      <c r="CS34" s="239" t="e">
        <f t="shared" si="25"/>
        <v>#VALUE!</v>
      </c>
      <c r="CT34" s="311">
        <f t="shared" si="26"/>
        <v>0</v>
      </c>
      <c r="CU34" s="239" t="str">
        <f>IF(D34="","",IF(E34=Data!$ZI$2,VLOOKUP(D34,Data!$ZK$2:$ZO$15,5,FALSE),IF(E34=Data!$ZI$1,VLOOKUP(D34,Data!$ZQ$2:$ZU$13,5,FALSE),IF(E34=Data!$ZI$3,VLOOKUP(D34,Data!$ZW$2:$AAD$13,5,FALSE),IF(E34=Data!$ZI$4,VLOOKUP(D34,Data!$AAC$2:$AAK$13,5,FALSE),IF(E34=Data!$ZI$5,VLOOKUP(D34,Data!$AAC$26:$AAK$37,5,FALSE)))))))</f>
        <v/>
      </c>
      <c r="CV34" s="251">
        <f t="shared" si="27"/>
        <v>0</v>
      </c>
      <c r="CW34" s="251" t="e">
        <f t="shared" si="28"/>
        <v>#VALUE!</v>
      </c>
      <c r="CX34" s="239" t="e">
        <f t="shared" si="29"/>
        <v>#VALUE!</v>
      </c>
      <c r="CY34" s="239" t="str">
        <f>IF(D34="","",IF(E34=Data!$ZI$2,VLOOKUP(D34,Data!$ZK$2:$ZP$15,6,FALSE),IF(E34=Data!$ZI$1,VLOOKUP(D34,Data!$ZQ$2:$ZV$13,6,FALSE),IF(E34=Data!$ZI$3,VLOOKUP(D34,Data!$ZW$2:$AAE$13,6,FALSE),IF(E34=Data!$ZI$4,VLOOKUP(D34,Data!$AAC$2:$AAL$13,6,FALSE),IF(E34=Data!$ZI$5,VLOOKUP(D34,Data!$AAC$26:$AAL$37,6,FALSE)))))))</f>
        <v/>
      </c>
      <c r="CZ34" s="251">
        <f t="shared" si="30"/>
        <v>0</v>
      </c>
      <c r="DA34" s="251" t="e">
        <f t="shared" si="31"/>
        <v>#VALUE!</v>
      </c>
      <c r="DB34" s="239" t="e">
        <f t="shared" si="32"/>
        <v>#VALUE!</v>
      </c>
      <c r="DC34" s="311">
        <f t="shared" si="33"/>
        <v>0</v>
      </c>
    </row>
    <row r="35" spans="1:107" ht="30" customHeight="1">
      <c r="A35" s="52">
        <v>28</v>
      </c>
      <c r="B35" s="13"/>
      <c r="C35" s="13"/>
      <c r="D35" s="13"/>
      <c r="E35" s="235"/>
      <c r="F35" s="235"/>
      <c r="G35" s="235"/>
      <c r="H35" s="235"/>
      <c r="I35" s="14"/>
      <c r="J35" s="14"/>
      <c r="K35" s="14"/>
      <c r="L35" s="14"/>
      <c r="M35" s="525"/>
      <c r="N35" s="526"/>
      <c r="O35" s="15"/>
      <c r="P35" s="15"/>
      <c r="Q35" s="15"/>
      <c r="R35" s="15"/>
      <c r="S35" s="15"/>
      <c r="T35" s="13" t="str">
        <f t="shared" si="9"/>
        <v/>
      </c>
      <c r="U35" s="253" t="str">
        <f t="shared" si="10"/>
        <v/>
      </c>
      <c r="V35" s="471"/>
      <c r="W35" s="482" t="b">
        <f t="shared" si="11"/>
        <v>0</v>
      </c>
      <c r="X35" s="230"/>
      <c r="Y35" s="253"/>
      <c r="AA35" s="33" t="str">
        <f>IF(SUM(--ISNUMBER(SEARCH({"Skylight"}, D35))),Data!$AJ$19,Data!$AJ$1)</f>
        <v>WindowType</v>
      </c>
      <c r="AB35" s="33" t="str">
        <f t="shared" si="0"/>
        <v>OK</v>
      </c>
      <c r="AE35" s="239" t="e">
        <f>MATCH(E35, Data!$TB$2:$TB$6,0)</f>
        <v>#N/A</v>
      </c>
      <c r="AF35" s="239" t="e">
        <f>MATCH(F35,Data!$TC$1:$UB$1,0)</f>
        <v>#N/A</v>
      </c>
      <c r="AG35" s="239" t="e">
        <f>INDEX(Data!$TC$2:$UB$6,'Cellular Blinds'!AE35,'Cellular Blinds'!AF35)</f>
        <v>#N/A</v>
      </c>
      <c r="AH35" s="33" t="e">
        <f>VLOOKUP(D35,Data!$RU$2:$RV$15,2,FALSE)</f>
        <v>#N/A</v>
      </c>
      <c r="AI35" s="33" t="b">
        <f>IF(D35=Data!$UT$2,Data!$UU$1,IF(D35=Data!$UT$3,Data!$UV$1,IF(D35=Data!$UT$4,Data!$UW$1,IF(D35=Data!$UT$5,Data!$UX$1,IF(D35=Data!$UT$6,Data!$UY$1,IF(D35=Data!$UT$7,Data!$UZ$1,IF(D35=Data!$UT$8,Data!$VA$1,IF(D35=Data!$UT$9,Data!$VB$1,IF(D35=Data!$UT$10,Data!$VC$1,IF(D35=Data!$UT$11,Data!$VD$1,IF(D35=Data!$UT$12,Data!$VD$22,IF(D35=Data!$UT$13,Data!$VD$22,IF(D35=Data!$UT$14,Data!$UU$13,IF(D35=Data!$UT$15,Data!$UV$13))))))))))))))</f>
        <v>0</v>
      </c>
      <c r="AJ35" s="239" t="e">
        <f>MATCH(D35,Data!$VL$27:$VL$40,0)</f>
        <v>#N/A</v>
      </c>
      <c r="AK35" s="239" t="e">
        <f>MATCH(E35,Data!$VM$26:$VQ$26,0)</f>
        <v>#N/A</v>
      </c>
      <c r="AL35" s="239" t="e">
        <f>INDEX(Data!$VM$27:$VQ$40,'Cellular Blinds'!AJ35,'Cellular Blinds'!AK35)</f>
        <v>#N/A</v>
      </c>
      <c r="AM35" s="239" t="e">
        <f>MATCH(D35, Data!$VL$2:$VL$16,0)</f>
        <v>#N/A</v>
      </c>
      <c r="AN35" s="239" t="e">
        <f>MATCH(E35,Data!$VM$1:$VQ$1,0)</f>
        <v>#N/A</v>
      </c>
      <c r="AO35" s="239" t="e">
        <f>INDEX(Data!$VM$2:$VQ$16,'Cellular Blinds'!AM35,'Cellular Blinds'!AN35)</f>
        <v>#N/A</v>
      </c>
      <c r="AP35" s="33" t="e">
        <f>VLOOKUP(P35,Data!$UW$14:$UX$28,2,FALSE)</f>
        <v>#N/A</v>
      </c>
      <c r="AQ35" s="239" t="e">
        <f>MATCH(E35, Data!$XS$2:$XS$6,0)</f>
        <v>#N/A</v>
      </c>
      <c r="AR35" s="239" t="e">
        <f>MATCH(F35,Data!$XT$1:$YR$1,0)</f>
        <v>#N/A</v>
      </c>
      <c r="AS35" s="239" t="e">
        <f>INDEX(Data!$XT$2:$YR$6,'Cellular Blinds'!AQ35,'Cellular Blinds'!AR35)</f>
        <v>#N/A</v>
      </c>
      <c r="AT35" s="239" t="b">
        <f>IF(D35=Data!$YU$2,Data!$YV$1,IF(D35=Data!$YU$3,Data!$YW$1,IF(D35=Data!$YU$4,Data!$YX$1,IF(D35=Data!$YU$5,Data!$YY$1,IF(D35=Data!$YU$6,Data!$YZ$1,IF(D35=Data!$YU$7,Data!$ZA$1,IF(D35=Data!$YU$8,Data!$ZB$1,IF(D35=Data!$YU$9,Data!$ZC$1,IF(D35=Data!$YU$10,Data!$ZD$1,IF(D35=Data!$YU$11,Data!$ZE$1,IF(D35=Data!$YU$12,Data!$ZE$1,IF(D35=Data!$YU$13,Data!$ZE$1,IF(D35=Data!$YU$14,Data!$ZG$11,IF(D35=Data!$YU$15,Data!$ZF$11))))))))))))))</f>
        <v>0</v>
      </c>
      <c r="AU35" s="239" t="str">
        <f>IF(D35="","",IF(E35=Data!$ZI$2,VLOOKUP(D35,Data!$ZK$2:$ZL$15,2,FALSE),IF(E35=Data!$ZI$1,VLOOKUP(D35,Data!$ZQ$2:$ZR$13,2,FALSE),IF(E35=Data!$ZI$3,VLOOKUP(D35,Data!$ZW$2:$ZX$13,2,FALSE),IF(E35=Data!$ZI$4,VLOOKUP(D35,Data!$AAC$2:$AAD$13,2,FALSE),IF(E35=Data!$ZI$5,VLOOKUP(D35,Data!$AAC$26:$AAD$37,2,FALSE)))))))</f>
        <v/>
      </c>
      <c r="AV35" s="251" t="str">
        <f t="shared" si="12"/>
        <v/>
      </c>
      <c r="AW35" s="251" t="str">
        <f t="shared" si="13"/>
        <v/>
      </c>
      <c r="AX35" s="239" t="str">
        <f t="shared" si="14"/>
        <v/>
      </c>
      <c r="BA35" s="33" t="str">
        <f t="shared" si="15"/>
        <v>FittingBoth</v>
      </c>
      <c r="BN35" s="476" t="str">
        <f t="shared" si="1"/>
        <v>UChannelNA</v>
      </c>
      <c r="BO35" s="476" t="e">
        <f t="shared" si="16"/>
        <v>#N/A</v>
      </c>
      <c r="BP35" s="476" t="str">
        <f t="shared" si="17"/>
        <v>No</v>
      </c>
      <c r="BQ35" s="476" t="str">
        <f t="shared" si="18"/>
        <v>No</v>
      </c>
      <c r="BR35" s="476" t="e">
        <f t="shared" si="2"/>
        <v>#N/A</v>
      </c>
      <c r="BU35" s="172">
        <f t="shared" si="19"/>
        <v>2</v>
      </c>
      <c r="CB35" s="33" t="e">
        <f t="shared" si="3"/>
        <v>#N/A</v>
      </c>
      <c r="CC35" s="172" t="b">
        <f t="shared" si="4"/>
        <v>0</v>
      </c>
      <c r="CD35" s="172">
        <f t="shared" si="5"/>
        <v>0</v>
      </c>
      <c r="CE35" s="172">
        <f t="shared" si="6"/>
        <v>0</v>
      </c>
      <c r="CF35" s="172">
        <f t="shared" si="7"/>
        <v>0</v>
      </c>
      <c r="CG35" s="172">
        <f t="shared" si="8"/>
        <v>0</v>
      </c>
      <c r="CL35" s="239" t="str">
        <f>IF(D35="","",IF(E35=Data!$ZI$2,VLOOKUP(D35,Data!$ZK$2:$ZP$15,3,FALSE),IF(E35=Data!$ZI$1,VLOOKUP(D35,Data!$ZQ$2:$ZS$13,3,FALSE),IF(E35=Data!$ZI$3,VLOOKUP(D35,Data!$ZW$2:$AAB$13,3,FALSE),IF(E35=Data!$ZI$4,VLOOKUP(D35,Data!$AAC$2:$AAI$13,3,FALSE),IF(E35=Data!$ZI$5,VLOOKUP(D35,Data!$AAC$26:$AAI$37,3,FALSE)))))))</f>
        <v/>
      </c>
      <c r="CM35" s="251">
        <f t="shared" si="20"/>
        <v>0</v>
      </c>
      <c r="CN35" s="251" t="e">
        <f t="shared" si="21"/>
        <v>#VALUE!</v>
      </c>
      <c r="CO35" s="239" t="e">
        <f t="shared" si="22"/>
        <v>#VALUE!</v>
      </c>
      <c r="CP35" s="239" t="str">
        <f>IF(D35="","",IF(E35=Data!$ZI$2,VLOOKUP(D35,Data!$ZK$2:$ZN$15,4,FALSE),IF(E35=Data!$ZI$1,VLOOKUP(D35,Data!$ZQ$2:$ZT$13,4,FALSE),IF(E35=Data!$ZI$3,VLOOKUP(D35,Data!$ZW$2:$AAC$13,4,FALSE),IF(E35=Data!$ZI$4,VLOOKUP(D35,Data!$AAC$2:$AAJ$13,4,FALSE),IF(E35=Data!$ZI$5,VLOOKUP(D35,Data!$AAC$26:$AAJ$37,4,FALSE)))))))</f>
        <v/>
      </c>
      <c r="CQ35" s="251">
        <f t="shared" si="23"/>
        <v>0</v>
      </c>
      <c r="CR35" s="251" t="e">
        <f t="shared" si="24"/>
        <v>#VALUE!</v>
      </c>
      <c r="CS35" s="239" t="e">
        <f t="shared" si="25"/>
        <v>#VALUE!</v>
      </c>
      <c r="CT35" s="311">
        <f t="shared" si="26"/>
        <v>0</v>
      </c>
      <c r="CU35" s="239" t="str">
        <f>IF(D35="","",IF(E35=Data!$ZI$2,VLOOKUP(D35,Data!$ZK$2:$ZO$15,5,FALSE),IF(E35=Data!$ZI$1,VLOOKUP(D35,Data!$ZQ$2:$ZU$13,5,FALSE),IF(E35=Data!$ZI$3,VLOOKUP(D35,Data!$ZW$2:$AAD$13,5,FALSE),IF(E35=Data!$ZI$4,VLOOKUP(D35,Data!$AAC$2:$AAK$13,5,FALSE),IF(E35=Data!$ZI$5,VLOOKUP(D35,Data!$AAC$26:$AAK$37,5,FALSE)))))))</f>
        <v/>
      </c>
      <c r="CV35" s="251">
        <f t="shared" si="27"/>
        <v>0</v>
      </c>
      <c r="CW35" s="251" t="e">
        <f t="shared" si="28"/>
        <v>#VALUE!</v>
      </c>
      <c r="CX35" s="239" t="e">
        <f t="shared" si="29"/>
        <v>#VALUE!</v>
      </c>
      <c r="CY35" s="239" t="str">
        <f>IF(D35="","",IF(E35=Data!$ZI$2,VLOOKUP(D35,Data!$ZK$2:$ZP$15,6,FALSE),IF(E35=Data!$ZI$1,VLOOKUP(D35,Data!$ZQ$2:$ZV$13,6,FALSE),IF(E35=Data!$ZI$3,VLOOKUP(D35,Data!$ZW$2:$AAE$13,6,FALSE),IF(E35=Data!$ZI$4,VLOOKUP(D35,Data!$AAC$2:$AAL$13,6,FALSE),IF(E35=Data!$ZI$5,VLOOKUP(D35,Data!$AAC$26:$AAL$37,6,FALSE)))))))</f>
        <v/>
      </c>
      <c r="CZ35" s="251">
        <f t="shared" si="30"/>
        <v>0</v>
      </c>
      <c r="DA35" s="251" t="e">
        <f t="shared" si="31"/>
        <v>#VALUE!</v>
      </c>
      <c r="DB35" s="239" t="e">
        <f t="shared" si="32"/>
        <v>#VALUE!</v>
      </c>
      <c r="DC35" s="311">
        <f t="shared" si="33"/>
        <v>0</v>
      </c>
    </row>
    <row r="36" spans="1:107" ht="30" customHeight="1">
      <c r="A36" s="52">
        <v>29</v>
      </c>
      <c r="B36" s="13"/>
      <c r="C36" s="13"/>
      <c r="D36" s="13"/>
      <c r="E36" s="235"/>
      <c r="F36" s="235"/>
      <c r="G36" s="235"/>
      <c r="H36" s="235"/>
      <c r="I36" s="14"/>
      <c r="J36" s="14"/>
      <c r="K36" s="14"/>
      <c r="L36" s="14"/>
      <c r="M36" s="525"/>
      <c r="N36" s="526"/>
      <c r="O36" s="15"/>
      <c r="P36" s="15"/>
      <c r="Q36" s="15"/>
      <c r="R36" s="15"/>
      <c r="S36" s="15"/>
      <c r="T36" s="13" t="str">
        <f t="shared" si="9"/>
        <v/>
      </c>
      <c r="U36" s="253" t="str">
        <f t="shared" si="10"/>
        <v/>
      </c>
      <c r="V36" s="471"/>
      <c r="W36" s="482" t="b">
        <f t="shared" si="11"/>
        <v>0</v>
      </c>
      <c r="X36" s="230"/>
      <c r="Y36" s="253"/>
      <c r="AA36" s="33" t="str">
        <f>IF(SUM(--ISNUMBER(SEARCH({"Skylight"}, D36))),Data!$AJ$19,Data!$AJ$1)</f>
        <v>WindowType</v>
      </c>
      <c r="AB36" s="33" t="str">
        <f t="shared" si="0"/>
        <v>OK</v>
      </c>
      <c r="AE36" s="239" t="e">
        <f>MATCH(E36, Data!$TB$2:$TB$6,0)</f>
        <v>#N/A</v>
      </c>
      <c r="AF36" s="239" t="e">
        <f>MATCH(F36,Data!$TC$1:$UB$1,0)</f>
        <v>#N/A</v>
      </c>
      <c r="AG36" s="239" t="e">
        <f>INDEX(Data!$TC$2:$UB$6,'Cellular Blinds'!AE36,'Cellular Blinds'!AF36)</f>
        <v>#N/A</v>
      </c>
      <c r="AH36" s="33" t="e">
        <f>VLOOKUP(D36,Data!$RU$2:$RV$15,2,FALSE)</f>
        <v>#N/A</v>
      </c>
      <c r="AI36" s="33" t="b">
        <f>IF(D36=Data!$UT$2,Data!$UU$1,IF(D36=Data!$UT$3,Data!$UV$1,IF(D36=Data!$UT$4,Data!$UW$1,IF(D36=Data!$UT$5,Data!$UX$1,IF(D36=Data!$UT$6,Data!$UY$1,IF(D36=Data!$UT$7,Data!$UZ$1,IF(D36=Data!$UT$8,Data!$VA$1,IF(D36=Data!$UT$9,Data!$VB$1,IF(D36=Data!$UT$10,Data!$VC$1,IF(D36=Data!$UT$11,Data!$VD$1,IF(D36=Data!$UT$12,Data!$VD$22,IF(D36=Data!$UT$13,Data!$VD$22,IF(D36=Data!$UT$14,Data!$UU$13,IF(D36=Data!$UT$15,Data!$UV$13))))))))))))))</f>
        <v>0</v>
      </c>
      <c r="AJ36" s="239" t="e">
        <f>MATCH(D36,Data!$VL$27:$VL$40,0)</f>
        <v>#N/A</v>
      </c>
      <c r="AK36" s="239" t="e">
        <f>MATCH(E36,Data!$VM$26:$VQ$26,0)</f>
        <v>#N/A</v>
      </c>
      <c r="AL36" s="239" t="e">
        <f>INDEX(Data!$VM$27:$VQ$40,'Cellular Blinds'!AJ36,'Cellular Blinds'!AK36)</f>
        <v>#N/A</v>
      </c>
      <c r="AM36" s="239" t="e">
        <f>MATCH(D36, Data!$VL$2:$VL$16,0)</f>
        <v>#N/A</v>
      </c>
      <c r="AN36" s="239" t="e">
        <f>MATCH(E36,Data!$VM$1:$VQ$1,0)</f>
        <v>#N/A</v>
      </c>
      <c r="AO36" s="239" t="e">
        <f>INDEX(Data!$VM$2:$VQ$16,'Cellular Blinds'!AM36,'Cellular Blinds'!AN36)</f>
        <v>#N/A</v>
      </c>
      <c r="AP36" s="33" t="e">
        <f>VLOOKUP(P36,Data!$UW$14:$UX$28,2,FALSE)</f>
        <v>#N/A</v>
      </c>
      <c r="AQ36" s="239" t="e">
        <f>MATCH(E36, Data!$XS$2:$XS$6,0)</f>
        <v>#N/A</v>
      </c>
      <c r="AR36" s="239" t="e">
        <f>MATCH(F36,Data!$XT$1:$YR$1,0)</f>
        <v>#N/A</v>
      </c>
      <c r="AS36" s="239" t="e">
        <f>INDEX(Data!$XT$2:$YR$6,'Cellular Blinds'!AQ36,'Cellular Blinds'!AR36)</f>
        <v>#N/A</v>
      </c>
      <c r="AT36" s="239" t="b">
        <f>IF(D36=Data!$YU$2,Data!$YV$1,IF(D36=Data!$YU$3,Data!$YW$1,IF(D36=Data!$YU$4,Data!$YX$1,IF(D36=Data!$YU$5,Data!$YY$1,IF(D36=Data!$YU$6,Data!$YZ$1,IF(D36=Data!$YU$7,Data!$ZA$1,IF(D36=Data!$YU$8,Data!$ZB$1,IF(D36=Data!$YU$9,Data!$ZC$1,IF(D36=Data!$YU$10,Data!$ZD$1,IF(D36=Data!$YU$11,Data!$ZE$1,IF(D36=Data!$YU$12,Data!$ZE$1,IF(D36=Data!$YU$13,Data!$ZE$1,IF(D36=Data!$YU$14,Data!$ZG$11,IF(D36=Data!$YU$15,Data!$ZF$11))))))))))))))</f>
        <v>0</v>
      </c>
      <c r="AU36" s="239" t="str">
        <f>IF(D36="","",IF(E36=Data!$ZI$2,VLOOKUP(D36,Data!$ZK$2:$ZL$15,2,FALSE),IF(E36=Data!$ZI$1,VLOOKUP(D36,Data!$ZQ$2:$ZR$13,2,FALSE),IF(E36=Data!$ZI$3,VLOOKUP(D36,Data!$ZW$2:$ZX$13,2,FALSE),IF(E36=Data!$ZI$4,VLOOKUP(D36,Data!$AAC$2:$AAD$13,2,FALSE),IF(E36=Data!$ZI$5,VLOOKUP(D36,Data!$AAC$26:$AAD$37,2,FALSE)))))))</f>
        <v/>
      </c>
      <c r="AV36" s="251" t="str">
        <f t="shared" si="12"/>
        <v/>
      </c>
      <c r="AW36" s="251" t="str">
        <f t="shared" si="13"/>
        <v/>
      </c>
      <c r="AX36" s="239" t="str">
        <f t="shared" si="14"/>
        <v/>
      </c>
      <c r="BA36" s="33" t="str">
        <f t="shared" si="15"/>
        <v>FittingBoth</v>
      </c>
      <c r="BN36" s="476" t="str">
        <f t="shared" si="1"/>
        <v>UChannelNA</v>
      </c>
      <c r="BO36" s="476" t="e">
        <f t="shared" si="16"/>
        <v>#N/A</v>
      </c>
      <c r="BP36" s="476" t="str">
        <f t="shared" si="17"/>
        <v>No</v>
      </c>
      <c r="BQ36" s="476" t="str">
        <f t="shared" si="18"/>
        <v>No</v>
      </c>
      <c r="BR36" s="476" t="e">
        <f t="shared" si="2"/>
        <v>#N/A</v>
      </c>
      <c r="BU36" s="172">
        <f t="shared" si="19"/>
        <v>2</v>
      </c>
      <c r="CB36" s="33" t="e">
        <f t="shared" si="3"/>
        <v>#N/A</v>
      </c>
      <c r="CC36" s="172" t="b">
        <f t="shared" si="4"/>
        <v>0</v>
      </c>
      <c r="CD36" s="172">
        <f t="shared" si="5"/>
        <v>0</v>
      </c>
      <c r="CE36" s="172">
        <f t="shared" si="6"/>
        <v>0</v>
      </c>
      <c r="CF36" s="172">
        <f t="shared" si="7"/>
        <v>0</v>
      </c>
      <c r="CG36" s="172">
        <f t="shared" si="8"/>
        <v>0</v>
      </c>
      <c r="CL36" s="239" t="str">
        <f>IF(D36="","",IF(E36=Data!$ZI$2,VLOOKUP(D36,Data!$ZK$2:$ZP$15,3,FALSE),IF(E36=Data!$ZI$1,VLOOKUP(D36,Data!$ZQ$2:$ZS$13,3,FALSE),IF(E36=Data!$ZI$3,VLOOKUP(D36,Data!$ZW$2:$AAB$13,3,FALSE),IF(E36=Data!$ZI$4,VLOOKUP(D36,Data!$AAC$2:$AAI$13,3,FALSE),IF(E36=Data!$ZI$5,VLOOKUP(D36,Data!$AAC$26:$AAI$37,3,FALSE)))))))</f>
        <v/>
      </c>
      <c r="CM36" s="251">
        <f t="shared" si="20"/>
        <v>0</v>
      </c>
      <c r="CN36" s="251" t="e">
        <f t="shared" si="21"/>
        <v>#VALUE!</v>
      </c>
      <c r="CO36" s="239" t="e">
        <f t="shared" si="22"/>
        <v>#VALUE!</v>
      </c>
      <c r="CP36" s="239" t="str">
        <f>IF(D36="","",IF(E36=Data!$ZI$2,VLOOKUP(D36,Data!$ZK$2:$ZN$15,4,FALSE),IF(E36=Data!$ZI$1,VLOOKUP(D36,Data!$ZQ$2:$ZT$13,4,FALSE),IF(E36=Data!$ZI$3,VLOOKUP(D36,Data!$ZW$2:$AAC$13,4,FALSE),IF(E36=Data!$ZI$4,VLOOKUP(D36,Data!$AAC$2:$AAJ$13,4,FALSE),IF(E36=Data!$ZI$5,VLOOKUP(D36,Data!$AAC$26:$AAJ$37,4,FALSE)))))))</f>
        <v/>
      </c>
      <c r="CQ36" s="251">
        <f t="shared" si="23"/>
        <v>0</v>
      </c>
      <c r="CR36" s="251" t="e">
        <f t="shared" si="24"/>
        <v>#VALUE!</v>
      </c>
      <c r="CS36" s="239" t="e">
        <f t="shared" si="25"/>
        <v>#VALUE!</v>
      </c>
      <c r="CT36" s="311">
        <f t="shared" si="26"/>
        <v>0</v>
      </c>
      <c r="CU36" s="239" t="str">
        <f>IF(D36="","",IF(E36=Data!$ZI$2,VLOOKUP(D36,Data!$ZK$2:$ZO$15,5,FALSE),IF(E36=Data!$ZI$1,VLOOKUP(D36,Data!$ZQ$2:$ZU$13,5,FALSE),IF(E36=Data!$ZI$3,VLOOKUP(D36,Data!$ZW$2:$AAD$13,5,FALSE),IF(E36=Data!$ZI$4,VLOOKUP(D36,Data!$AAC$2:$AAK$13,5,FALSE),IF(E36=Data!$ZI$5,VLOOKUP(D36,Data!$AAC$26:$AAK$37,5,FALSE)))))))</f>
        <v/>
      </c>
      <c r="CV36" s="251">
        <f t="shared" si="27"/>
        <v>0</v>
      </c>
      <c r="CW36" s="251" t="e">
        <f t="shared" si="28"/>
        <v>#VALUE!</v>
      </c>
      <c r="CX36" s="239" t="e">
        <f t="shared" si="29"/>
        <v>#VALUE!</v>
      </c>
      <c r="CY36" s="239" t="str">
        <f>IF(D36="","",IF(E36=Data!$ZI$2,VLOOKUP(D36,Data!$ZK$2:$ZP$15,6,FALSE),IF(E36=Data!$ZI$1,VLOOKUP(D36,Data!$ZQ$2:$ZV$13,6,FALSE),IF(E36=Data!$ZI$3,VLOOKUP(D36,Data!$ZW$2:$AAE$13,6,FALSE),IF(E36=Data!$ZI$4,VLOOKUP(D36,Data!$AAC$2:$AAL$13,6,FALSE),IF(E36=Data!$ZI$5,VLOOKUP(D36,Data!$AAC$26:$AAL$37,6,FALSE)))))))</f>
        <v/>
      </c>
      <c r="CZ36" s="251">
        <f t="shared" si="30"/>
        <v>0</v>
      </c>
      <c r="DA36" s="251" t="e">
        <f t="shared" si="31"/>
        <v>#VALUE!</v>
      </c>
      <c r="DB36" s="239" t="e">
        <f t="shared" si="32"/>
        <v>#VALUE!</v>
      </c>
      <c r="DC36" s="311">
        <f t="shared" si="33"/>
        <v>0</v>
      </c>
    </row>
    <row r="37" spans="1:107" ht="30" customHeight="1">
      <c r="A37" s="52">
        <v>30</v>
      </c>
      <c r="B37" s="13"/>
      <c r="C37" s="13"/>
      <c r="D37" s="13"/>
      <c r="E37" s="235"/>
      <c r="F37" s="235"/>
      <c r="G37" s="235"/>
      <c r="H37" s="235"/>
      <c r="I37" s="14"/>
      <c r="J37" s="14"/>
      <c r="K37" s="14"/>
      <c r="L37" s="14"/>
      <c r="M37" s="525"/>
      <c r="N37" s="526"/>
      <c r="O37" s="15"/>
      <c r="P37" s="15"/>
      <c r="Q37" s="15"/>
      <c r="R37" s="15"/>
      <c r="S37" s="15"/>
      <c r="T37" s="13" t="str">
        <f t="shared" si="9"/>
        <v/>
      </c>
      <c r="U37" s="253" t="str">
        <f t="shared" si="10"/>
        <v/>
      </c>
      <c r="V37" s="471"/>
      <c r="W37" s="482" t="b">
        <f t="shared" si="11"/>
        <v>0</v>
      </c>
      <c r="X37" s="230"/>
      <c r="Y37" s="253"/>
      <c r="AA37" s="33" t="str">
        <f>IF(SUM(--ISNUMBER(SEARCH({"Skylight"}, D37))),Data!$AJ$19,Data!$AJ$1)</f>
        <v>WindowType</v>
      </c>
      <c r="AB37" s="33" t="str">
        <f t="shared" si="0"/>
        <v>OK</v>
      </c>
      <c r="AE37" s="239" t="e">
        <f>MATCH(E37, Data!$TB$2:$TB$6,0)</f>
        <v>#N/A</v>
      </c>
      <c r="AF37" s="239" t="e">
        <f>MATCH(F37,Data!$TC$1:$UB$1,0)</f>
        <v>#N/A</v>
      </c>
      <c r="AG37" s="239" t="e">
        <f>INDEX(Data!$TC$2:$UB$6,'Cellular Blinds'!AE37,'Cellular Blinds'!AF37)</f>
        <v>#N/A</v>
      </c>
      <c r="AH37" s="33" t="e">
        <f>VLOOKUP(D37,Data!$RU$2:$RV$15,2,FALSE)</f>
        <v>#N/A</v>
      </c>
      <c r="AI37" s="33" t="b">
        <f>IF(D37=Data!$UT$2,Data!$UU$1,IF(D37=Data!$UT$3,Data!$UV$1,IF(D37=Data!$UT$4,Data!$UW$1,IF(D37=Data!$UT$5,Data!$UX$1,IF(D37=Data!$UT$6,Data!$UY$1,IF(D37=Data!$UT$7,Data!$UZ$1,IF(D37=Data!$UT$8,Data!$VA$1,IF(D37=Data!$UT$9,Data!$VB$1,IF(D37=Data!$UT$10,Data!$VC$1,IF(D37=Data!$UT$11,Data!$VD$1,IF(D37=Data!$UT$12,Data!$VD$22,IF(D37=Data!$UT$13,Data!$VD$22,IF(D37=Data!$UT$14,Data!$UU$13,IF(D37=Data!$UT$15,Data!$UV$13))))))))))))))</f>
        <v>0</v>
      </c>
      <c r="AJ37" s="239" t="e">
        <f>MATCH(D37,Data!$VL$27:$VL$40,0)</f>
        <v>#N/A</v>
      </c>
      <c r="AK37" s="239" t="e">
        <f>MATCH(E37,Data!$VM$26:$VQ$26,0)</f>
        <v>#N/A</v>
      </c>
      <c r="AL37" s="239" t="e">
        <f>INDEX(Data!$VM$27:$VQ$40,'Cellular Blinds'!AJ37,'Cellular Blinds'!AK37)</f>
        <v>#N/A</v>
      </c>
      <c r="AM37" s="239" t="e">
        <f>MATCH(D37, Data!$VL$2:$VL$16,0)</f>
        <v>#N/A</v>
      </c>
      <c r="AN37" s="239" t="e">
        <f>MATCH(E37,Data!$VM$1:$VQ$1,0)</f>
        <v>#N/A</v>
      </c>
      <c r="AO37" s="239" t="e">
        <f>INDEX(Data!$VM$2:$VQ$16,'Cellular Blinds'!AM37,'Cellular Blinds'!AN37)</f>
        <v>#N/A</v>
      </c>
      <c r="AP37" s="33" t="e">
        <f>VLOOKUP(P37,Data!$UW$14:$UX$28,2,FALSE)</f>
        <v>#N/A</v>
      </c>
      <c r="AQ37" s="239" t="e">
        <f>MATCH(E37, Data!$XS$2:$XS$6,0)</f>
        <v>#N/A</v>
      </c>
      <c r="AR37" s="239" t="e">
        <f>MATCH(F37,Data!$XT$1:$YR$1,0)</f>
        <v>#N/A</v>
      </c>
      <c r="AS37" s="239" t="e">
        <f>INDEX(Data!$XT$2:$YR$6,'Cellular Blinds'!AQ37,'Cellular Blinds'!AR37)</f>
        <v>#N/A</v>
      </c>
      <c r="AT37" s="239" t="b">
        <f>IF(D37=Data!$YU$2,Data!$YV$1,IF(D37=Data!$YU$3,Data!$YW$1,IF(D37=Data!$YU$4,Data!$YX$1,IF(D37=Data!$YU$5,Data!$YY$1,IF(D37=Data!$YU$6,Data!$YZ$1,IF(D37=Data!$YU$7,Data!$ZA$1,IF(D37=Data!$YU$8,Data!$ZB$1,IF(D37=Data!$YU$9,Data!$ZC$1,IF(D37=Data!$YU$10,Data!$ZD$1,IF(D37=Data!$YU$11,Data!$ZE$1,IF(D37=Data!$YU$12,Data!$ZE$1,IF(D37=Data!$YU$13,Data!$ZE$1,IF(D37=Data!$YU$14,Data!$ZG$11,IF(D37=Data!$YU$15,Data!$ZF$11))))))))))))))</f>
        <v>0</v>
      </c>
      <c r="AU37" s="239" t="str">
        <f>IF(D37="","",IF(E37=Data!$ZI$2,VLOOKUP(D37,Data!$ZK$2:$ZL$15,2,FALSE),IF(E37=Data!$ZI$1,VLOOKUP(D37,Data!$ZQ$2:$ZR$13,2,FALSE),IF(E37=Data!$ZI$3,VLOOKUP(D37,Data!$ZW$2:$ZX$13,2,FALSE),IF(E37=Data!$ZI$4,VLOOKUP(D37,Data!$AAC$2:$AAD$13,2,FALSE),IF(E37=Data!$ZI$5,VLOOKUP(D37,Data!$AAC$26:$AAD$37,2,FALSE)))))))</f>
        <v/>
      </c>
      <c r="AV37" s="251" t="str">
        <f t="shared" si="12"/>
        <v/>
      </c>
      <c r="AW37" s="251" t="str">
        <f t="shared" si="13"/>
        <v/>
      </c>
      <c r="AX37" s="239" t="str">
        <f t="shared" si="14"/>
        <v/>
      </c>
      <c r="BA37" s="33" t="str">
        <f t="shared" si="15"/>
        <v>FittingBoth</v>
      </c>
      <c r="BN37" s="476" t="str">
        <f t="shared" si="1"/>
        <v>UChannelNA</v>
      </c>
      <c r="BO37" s="476" t="e">
        <f t="shared" si="16"/>
        <v>#N/A</v>
      </c>
      <c r="BP37" s="476" t="str">
        <f t="shared" si="17"/>
        <v>No</v>
      </c>
      <c r="BQ37" s="476" t="str">
        <f t="shared" si="18"/>
        <v>No</v>
      </c>
      <c r="BR37" s="476" t="e">
        <f t="shared" si="2"/>
        <v>#N/A</v>
      </c>
      <c r="BU37" s="172">
        <f t="shared" si="19"/>
        <v>2</v>
      </c>
      <c r="CB37" s="33" t="e">
        <f t="shared" si="3"/>
        <v>#N/A</v>
      </c>
      <c r="CC37" s="172" t="b">
        <f t="shared" si="4"/>
        <v>0</v>
      </c>
      <c r="CD37" s="172">
        <f t="shared" si="5"/>
        <v>0</v>
      </c>
      <c r="CE37" s="172">
        <f t="shared" si="6"/>
        <v>0</v>
      </c>
      <c r="CF37" s="172">
        <f t="shared" si="7"/>
        <v>0</v>
      </c>
      <c r="CG37" s="172">
        <f t="shared" si="8"/>
        <v>0</v>
      </c>
      <c r="CL37" s="239" t="str">
        <f>IF(D37="","",IF(E37=Data!$ZI$2,VLOOKUP(D37,Data!$ZK$2:$ZP$15,3,FALSE),IF(E37=Data!$ZI$1,VLOOKUP(D37,Data!$ZQ$2:$ZS$13,3,FALSE),IF(E37=Data!$ZI$3,VLOOKUP(D37,Data!$ZW$2:$AAB$13,3,FALSE),IF(E37=Data!$ZI$4,VLOOKUP(D37,Data!$AAC$2:$AAI$13,3,FALSE),IF(E37=Data!$ZI$5,VLOOKUP(D37,Data!$AAC$26:$AAI$37,3,FALSE)))))))</f>
        <v/>
      </c>
      <c r="CM37" s="251">
        <f t="shared" si="20"/>
        <v>0</v>
      </c>
      <c r="CN37" s="251" t="e">
        <f t="shared" si="21"/>
        <v>#VALUE!</v>
      </c>
      <c r="CO37" s="239" t="e">
        <f t="shared" si="22"/>
        <v>#VALUE!</v>
      </c>
      <c r="CP37" s="239" t="str">
        <f>IF(D37="","",IF(E37=Data!$ZI$2,VLOOKUP(D37,Data!$ZK$2:$ZN$15,4,FALSE),IF(E37=Data!$ZI$1,VLOOKUP(D37,Data!$ZQ$2:$ZT$13,4,FALSE),IF(E37=Data!$ZI$3,VLOOKUP(D37,Data!$ZW$2:$AAC$13,4,FALSE),IF(E37=Data!$ZI$4,VLOOKUP(D37,Data!$AAC$2:$AAJ$13,4,FALSE),IF(E37=Data!$ZI$5,VLOOKUP(D37,Data!$AAC$26:$AAJ$37,4,FALSE)))))))</f>
        <v/>
      </c>
      <c r="CQ37" s="251">
        <f t="shared" si="23"/>
        <v>0</v>
      </c>
      <c r="CR37" s="251" t="e">
        <f t="shared" si="24"/>
        <v>#VALUE!</v>
      </c>
      <c r="CS37" s="239" t="e">
        <f t="shared" si="25"/>
        <v>#VALUE!</v>
      </c>
      <c r="CT37" s="311">
        <f t="shared" si="26"/>
        <v>0</v>
      </c>
      <c r="CU37" s="239" t="str">
        <f>IF(D37="","",IF(E37=Data!$ZI$2,VLOOKUP(D37,Data!$ZK$2:$ZO$15,5,FALSE),IF(E37=Data!$ZI$1,VLOOKUP(D37,Data!$ZQ$2:$ZU$13,5,FALSE),IF(E37=Data!$ZI$3,VLOOKUP(D37,Data!$ZW$2:$AAD$13,5,FALSE),IF(E37=Data!$ZI$4,VLOOKUP(D37,Data!$AAC$2:$AAK$13,5,FALSE),IF(E37=Data!$ZI$5,VLOOKUP(D37,Data!$AAC$26:$AAK$37,5,FALSE)))))))</f>
        <v/>
      </c>
      <c r="CV37" s="251">
        <f t="shared" si="27"/>
        <v>0</v>
      </c>
      <c r="CW37" s="251" t="e">
        <f t="shared" si="28"/>
        <v>#VALUE!</v>
      </c>
      <c r="CX37" s="239" t="e">
        <f t="shared" si="29"/>
        <v>#VALUE!</v>
      </c>
      <c r="CY37" s="239" t="str">
        <f>IF(D37="","",IF(E37=Data!$ZI$2,VLOOKUP(D37,Data!$ZK$2:$ZP$15,6,FALSE),IF(E37=Data!$ZI$1,VLOOKUP(D37,Data!$ZQ$2:$ZV$13,6,FALSE),IF(E37=Data!$ZI$3,VLOOKUP(D37,Data!$ZW$2:$AAE$13,6,FALSE),IF(E37=Data!$ZI$4,VLOOKUP(D37,Data!$AAC$2:$AAL$13,6,FALSE),IF(E37=Data!$ZI$5,VLOOKUP(D37,Data!$AAC$26:$AAL$37,6,FALSE)))))))</f>
        <v/>
      </c>
      <c r="CZ37" s="251">
        <f t="shared" si="30"/>
        <v>0</v>
      </c>
      <c r="DA37" s="251" t="e">
        <f t="shared" si="31"/>
        <v>#VALUE!</v>
      </c>
      <c r="DB37" s="239" t="e">
        <f t="shared" si="32"/>
        <v>#VALUE!</v>
      </c>
      <c r="DC37" s="311">
        <f t="shared" si="33"/>
        <v>0</v>
      </c>
    </row>
    <row r="38" spans="1:107" ht="30" customHeight="1">
      <c r="A38" s="52">
        <v>31</v>
      </c>
      <c r="B38" s="13"/>
      <c r="C38" s="13"/>
      <c r="D38" s="13"/>
      <c r="E38" s="235"/>
      <c r="F38" s="235"/>
      <c r="G38" s="235"/>
      <c r="H38" s="235"/>
      <c r="I38" s="14"/>
      <c r="J38" s="14"/>
      <c r="K38" s="14"/>
      <c r="L38" s="14"/>
      <c r="M38" s="525"/>
      <c r="N38" s="526"/>
      <c r="O38" s="15"/>
      <c r="P38" s="15"/>
      <c r="Q38" s="15"/>
      <c r="R38" s="15"/>
      <c r="S38" s="15"/>
      <c r="T38" s="13" t="str">
        <f t="shared" si="9"/>
        <v/>
      </c>
      <c r="U38" s="253" t="str">
        <f t="shared" si="10"/>
        <v/>
      </c>
      <c r="V38" s="471"/>
      <c r="W38" s="482" t="b">
        <f t="shared" si="11"/>
        <v>0</v>
      </c>
      <c r="X38" s="230"/>
      <c r="Y38" s="253"/>
      <c r="AA38" s="33" t="str">
        <f>IF(SUM(--ISNUMBER(SEARCH({"Skylight"}, D38))),Data!$AJ$19,Data!$AJ$1)</f>
        <v>WindowType</v>
      </c>
      <c r="AB38" s="33" t="str">
        <f t="shared" si="0"/>
        <v>OK</v>
      </c>
      <c r="AE38" s="239" t="e">
        <f>MATCH(E38, Data!$TB$2:$TB$6,0)</f>
        <v>#N/A</v>
      </c>
      <c r="AF38" s="239" t="e">
        <f>MATCH(F38,Data!$TC$1:$UB$1,0)</f>
        <v>#N/A</v>
      </c>
      <c r="AG38" s="239" t="e">
        <f>INDEX(Data!$TC$2:$UB$6,'Cellular Blinds'!AE38,'Cellular Blinds'!AF38)</f>
        <v>#N/A</v>
      </c>
      <c r="AH38" s="33" t="e">
        <f>VLOOKUP(D38,Data!$RU$2:$RV$15,2,FALSE)</f>
        <v>#N/A</v>
      </c>
      <c r="AI38" s="33" t="b">
        <f>IF(D38=Data!$UT$2,Data!$UU$1,IF(D38=Data!$UT$3,Data!$UV$1,IF(D38=Data!$UT$4,Data!$UW$1,IF(D38=Data!$UT$5,Data!$UX$1,IF(D38=Data!$UT$6,Data!$UY$1,IF(D38=Data!$UT$7,Data!$UZ$1,IF(D38=Data!$UT$8,Data!$VA$1,IF(D38=Data!$UT$9,Data!$VB$1,IF(D38=Data!$UT$10,Data!$VC$1,IF(D38=Data!$UT$11,Data!$VD$1,IF(D38=Data!$UT$12,Data!$VD$22,IF(D38=Data!$UT$13,Data!$VD$22,IF(D38=Data!$UT$14,Data!$UU$13,IF(D38=Data!$UT$15,Data!$UV$13))))))))))))))</f>
        <v>0</v>
      </c>
      <c r="AJ38" s="239" t="e">
        <f>MATCH(D38,Data!$VL$27:$VL$40,0)</f>
        <v>#N/A</v>
      </c>
      <c r="AK38" s="239" t="e">
        <f>MATCH(E38,Data!$VM$26:$VQ$26,0)</f>
        <v>#N/A</v>
      </c>
      <c r="AL38" s="239" t="e">
        <f>INDEX(Data!$VM$27:$VQ$40,'Cellular Blinds'!AJ38,'Cellular Blinds'!AK38)</f>
        <v>#N/A</v>
      </c>
      <c r="AM38" s="239" t="e">
        <f>MATCH(D38, Data!$VL$2:$VL$16,0)</f>
        <v>#N/A</v>
      </c>
      <c r="AN38" s="239" t="e">
        <f>MATCH(E38,Data!$VM$1:$VQ$1,0)</f>
        <v>#N/A</v>
      </c>
      <c r="AO38" s="239" t="e">
        <f>INDEX(Data!$VM$2:$VQ$16,'Cellular Blinds'!AM38,'Cellular Blinds'!AN38)</f>
        <v>#N/A</v>
      </c>
      <c r="AP38" s="33" t="e">
        <f>VLOOKUP(P38,Data!$UW$14:$UX$28,2,FALSE)</f>
        <v>#N/A</v>
      </c>
      <c r="AQ38" s="239" t="e">
        <f>MATCH(E38, Data!$XS$2:$XS$6,0)</f>
        <v>#N/A</v>
      </c>
      <c r="AR38" s="239" t="e">
        <f>MATCH(F38,Data!$XT$1:$YR$1,0)</f>
        <v>#N/A</v>
      </c>
      <c r="AS38" s="239" t="e">
        <f>INDEX(Data!$XT$2:$YR$6,'Cellular Blinds'!AQ38,'Cellular Blinds'!AR38)</f>
        <v>#N/A</v>
      </c>
      <c r="AT38" s="239" t="b">
        <f>IF(D38=Data!$YU$2,Data!$YV$1,IF(D38=Data!$YU$3,Data!$YW$1,IF(D38=Data!$YU$4,Data!$YX$1,IF(D38=Data!$YU$5,Data!$YY$1,IF(D38=Data!$YU$6,Data!$YZ$1,IF(D38=Data!$YU$7,Data!$ZA$1,IF(D38=Data!$YU$8,Data!$ZB$1,IF(D38=Data!$YU$9,Data!$ZC$1,IF(D38=Data!$YU$10,Data!$ZD$1,IF(D38=Data!$YU$11,Data!$ZE$1,IF(D38=Data!$YU$12,Data!$ZE$1,IF(D38=Data!$YU$13,Data!$ZE$1,IF(D38=Data!$YU$14,Data!$ZG$11,IF(D38=Data!$YU$15,Data!$ZF$11))))))))))))))</f>
        <v>0</v>
      </c>
      <c r="AU38" s="239" t="str">
        <f>IF(D38="","",IF(E38=Data!$ZI$2,VLOOKUP(D38,Data!$ZK$2:$ZL$15,2,FALSE),IF(E38=Data!$ZI$1,VLOOKUP(D38,Data!$ZQ$2:$ZR$13,2,FALSE),IF(E38=Data!$ZI$3,VLOOKUP(D38,Data!$ZW$2:$ZX$13,2,FALSE),IF(E38=Data!$ZI$4,VLOOKUP(D38,Data!$AAC$2:$AAD$13,2,FALSE),IF(E38=Data!$ZI$5,VLOOKUP(D38,Data!$AAC$26:$AAD$37,2,FALSE)))))))</f>
        <v/>
      </c>
      <c r="AV38" s="251" t="str">
        <f t="shared" si="12"/>
        <v/>
      </c>
      <c r="AW38" s="251" t="str">
        <f t="shared" si="13"/>
        <v/>
      </c>
      <c r="AX38" s="239" t="str">
        <f t="shared" si="14"/>
        <v/>
      </c>
      <c r="BA38" s="33" t="str">
        <f t="shared" si="15"/>
        <v>FittingBoth</v>
      </c>
      <c r="BN38" s="476" t="str">
        <f t="shared" si="1"/>
        <v>UChannelNA</v>
      </c>
      <c r="BO38" s="476" t="e">
        <f t="shared" si="16"/>
        <v>#N/A</v>
      </c>
      <c r="BP38" s="476" t="str">
        <f t="shared" si="17"/>
        <v>No</v>
      </c>
      <c r="BQ38" s="476" t="str">
        <f t="shared" si="18"/>
        <v>No</v>
      </c>
      <c r="BR38" s="476" t="e">
        <f t="shared" si="2"/>
        <v>#N/A</v>
      </c>
      <c r="BU38" s="172">
        <f t="shared" si="19"/>
        <v>2</v>
      </c>
      <c r="CB38" s="33" t="e">
        <f t="shared" si="3"/>
        <v>#N/A</v>
      </c>
      <c r="CC38" s="172" t="b">
        <f t="shared" si="4"/>
        <v>0</v>
      </c>
      <c r="CD38" s="172">
        <f t="shared" si="5"/>
        <v>0</v>
      </c>
      <c r="CE38" s="172">
        <f t="shared" si="6"/>
        <v>0</v>
      </c>
      <c r="CF38" s="172">
        <f t="shared" si="7"/>
        <v>0</v>
      </c>
      <c r="CG38" s="172">
        <f t="shared" si="8"/>
        <v>0</v>
      </c>
      <c r="CL38" s="239" t="str">
        <f>IF(D38="","",IF(E38=Data!$ZI$2,VLOOKUP(D38,Data!$ZK$2:$ZP$15,3,FALSE),IF(E38=Data!$ZI$1,VLOOKUP(D38,Data!$ZQ$2:$ZS$13,3,FALSE),IF(E38=Data!$ZI$3,VLOOKUP(D38,Data!$ZW$2:$AAB$13,3,FALSE),IF(E38=Data!$ZI$4,VLOOKUP(D38,Data!$AAC$2:$AAI$13,3,FALSE),IF(E38=Data!$ZI$5,VLOOKUP(D38,Data!$AAC$26:$AAI$37,3,FALSE)))))))</f>
        <v/>
      </c>
      <c r="CM38" s="251">
        <f t="shared" si="20"/>
        <v>0</v>
      </c>
      <c r="CN38" s="251" t="e">
        <f t="shared" si="21"/>
        <v>#VALUE!</v>
      </c>
      <c r="CO38" s="239" t="e">
        <f t="shared" si="22"/>
        <v>#VALUE!</v>
      </c>
      <c r="CP38" s="239" t="str">
        <f>IF(D38="","",IF(E38=Data!$ZI$2,VLOOKUP(D38,Data!$ZK$2:$ZN$15,4,FALSE),IF(E38=Data!$ZI$1,VLOOKUP(D38,Data!$ZQ$2:$ZT$13,4,FALSE),IF(E38=Data!$ZI$3,VLOOKUP(D38,Data!$ZW$2:$AAC$13,4,FALSE),IF(E38=Data!$ZI$4,VLOOKUP(D38,Data!$AAC$2:$AAJ$13,4,FALSE),IF(E38=Data!$ZI$5,VLOOKUP(D38,Data!$AAC$26:$AAJ$37,4,FALSE)))))))</f>
        <v/>
      </c>
      <c r="CQ38" s="251">
        <f t="shared" si="23"/>
        <v>0</v>
      </c>
      <c r="CR38" s="251" t="e">
        <f t="shared" si="24"/>
        <v>#VALUE!</v>
      </c>
      <c r="CS38" s="239" t="e">
        <f t="shared" si="25"/>
        <v>#VALUE!</v>
      </c>
      <c r="CT38" s="311">
        <f t="shared" si="26"/>
        <v>0</v>
      </c>
      <c r="CU38" s="239" t="str">
        <f>IF(D38="","",IF(E38=Data!$ZI$2,VLOOKUP(D38,Data!$ZK$2:$ZO$15,5,FALSE),IF(E38=Data!$ZI$1,VLOOKUP(D38,Data!$ZQ$2:$ZU$13,5,FALSE),IF(E38=Data!$ZI$3,VLOOKUP(D38,Data!$ZW$2:$AAD$13,5,FALSE),IF(E38=Data!$ZI$4,VLOOKUP(D38,Data!$AAC$2:$AAK$13,5,FALSE),IF(E38=Data!$ZI$5,VLOOKUP(D38,Data!$AAC$26:$AAK$37,5,FALSE)))))))</f>
        <v/>
      </c>
      <c r="CV38" s="251">
        <f t="shared" si="27"/>
        <v>0</v>
      </c>
      <c r="CW38" s="251" t="e">
        <f t="shared" si="28"/>
        <v>#VALUE!</v>
      </c>
      <c r="CX38" s="239" t="e">
        <f t="shared" si="29"/>
        <v>#VALUE!</v>
      </c>
      <c r="CY38" s="239" t="str">
        <f>IF(D38="","",IF(E38=Data!$ZI$2,VLOOKUP(D38,Data!$ZK$2:$ZP$15,6,FALSE),IF(E38=Data!$ZI$1,VLOOKUP(D38,Data!$ZQ$2:$ZV$13,6,FALSE),IF(E38=Data!$ZI$3,VLOOKUP(D38,Data!$ZW$2:$AAE$13,6,FALSE),IF(E38=Data!$ZI$4,VLOOKUP(D38,Data!$AAC$2:$AAL$13,6,FALSE),IF(E38=Data!$ZI$5,VLOOKUP(D38,Data!$AAC$26:$AAL$37,6,FALSE)))))))</f>
        <v/>
      </c>
      <c r="CZ38" s="251">
        <f t="shared" si="30"/>
        <v>0</v>
      </c>
      <c r="DA38" s="251" t="e">
        <f t="shared" si="31"/>
        <v>#VALUE!</v>
      </c>
      <c r="DB38" s="239" t="e">
        <f t="shared" si="32"/>
        <v>#VALUE!</v>
      </c>
      <c r="DC38" s="311">
        <f t="shared" si="33"/>
        <v>0</v>
      </c>
    </row>
    <row r="39" spans="1:107" ht="30" customHeight="1">
      <c r="A39" s="52">
        <v>32</v>
      </c>
      <c r="B39" s="13"/>
      <c r="C39" s="13"/>
      <c r="D39" s="13"/>
      <c r="E39" s="235"/>
      <c r="F39" s="235"/>
      <c r="G39" s="235"/>
      <c r="H39" s="235"/>
      <c r="I39" s="14"/>
      <c r="J39" s="14"/>
      <c r="K39" s="14"/>
      <c r="L39" s="14"/>
      <c r="M39" s="525"/>
      <c r="N39" s="526"/>
      <c r="O39" s="15"/>
      <c r="P39" s="15"/>
      <c r="Q39" s="15"/>
      <c r="R39" s="15"/>
      <c r="S39" s="15"/>
      <c r="T39" s="13" t="str">
        <f t="shared" si="9"/>
        <v/>
      </c>
      <c r="U39" s="253" t="str">
        <f t="shared" si="10"/>
        <v/>
      </c>
      <c r="V39" s="471"/>
      <c r="W39" s="482" t="b">
        <f t="shared" si="11"/>
        <v>0</v>
      </c>
      <c r="X39" s="230"/>
      <c r="Y39" s="253"/>
      <c r="AA39" s="33" t="str">
        <f>IF(SUM(--ISNUMBER(SEARCH({"Skylight"}, D39))),Data!$AJ$19,Data!$AJ$1)</f>
        <v>WindowType</v>
      </c>
      <c r="AB39" s="33" t="str">
        <f t="shared" si="0"/>
        <v>OK</v>
      </c>
      <c r="AE39" s="239" t="e">
        <f>MATCH(E39, Data!$TB$2:$TB$6,0)</f>
        <v>#N/A</v>
      </c>
      <c r="AF39" s="239" t="e">
        <f>MATCH(F39,Data!$TC$1:$UB$1,0)</f>
        <v>#N/A</v>
      </c>
      <c r="AG39" s="239" t="e">
        <f>INDEX(Data!$TC$2:$UB$6,'Cellular Blinds'!AE39,'Cellular Blinds'!AF39)</f>
        <v>#N/A</v>
      </c>
      <c r="AH39" s="33" t="e">
        <f>VLOOKUP(D39,Data!$RU$2:$RV$15,2,FALSE)</f>
        <v>#N/A</v>
      </c>
      <c r="AI39" s="33" t="b">
        <f>IF(D39=Data!$UT$2,Data!$UU$1,IF(D39=Data!$UT$3,Data!$UV$1,IF(D39=Data!$UT$4,Data!$UW$1,IF(D39=Data!$UT$5,Data!$UX$1,IF(D39=Data!$UT$6,Data!$UY$1,IF(D39=Data!$UT$7,Data!$UZ$1,IF(D39=Data!$UT$8,Data!$VA$1,IF(D39=Data!$UT$9,Data!$VB$1,IF(D39=Data!$UT$10,Data!$VC$1,IF(D39=Data!$UT$11,Data!$VD$1,IF(D39=Data!$UT$12,Data!$VD$22,IF(D39=Data!$UT$13,Data!$VD$22,IF(D39=Data!$UT$14,Data!$UU$13,IF(D39=Data!$UT$15,Data!$UV$13))))))))))))))</f>
        <v>0</v>
      </c>
      <c r="AJ39" s="239" t="e">
        <f>MATCH(D39,Data!$VL$27:$VL$40,0)</f>
        <v>#N/A</v>
      </c>
      <c r="AK39" s="239" t="e">
        <f>MATCH(E39,Data!$VM$26:$VQ$26,0)</f>
        <v>#N/A</v>
      </c>
      <c r="AL39" s="239" t="e">
        <f>INDEX(Data!$VM$27:$VQ$40,'Cellular Blinds'!AJ39,'Cellular Blinds'!AK39)</f>
        <v>#N/A</v>
      </c>
      <c r="AM39" s="239" t="e">
        <f>MATCH(D39, Data!$VL$2:$VL$16,0)</f>
        <v>#N/A</v>
      </c>
      <c r="AN39" s="239" t="e">
        <f>MATCH(E39,Data!$VM$1:$VQ$1,0)</f>
        <v>#N/A</v>
      </c>
      <c r="AO39" s="239" t="e">
        <f>INDEX(Data!$VM$2:$VQ$16,'Cellular Blinds'!AM39,'Cellular Blinds'!AN39)</f>
        <v>#N/A</v>
      </c>
      <c r="AP39" s="33" t="e">
        <f>VLOOKUP(P39,Data!$UW$14:$UX$28,2,FALSE)</f>
        <v>#N/A</v>
      </c>
      <c r="AQ39" s="239" t="e">
        <f>MATCH(E39, Data!$XS$2:$XS$6,0)</f>
        <v>#N/A</v>
      </c>
      <c r="AR39" s="239" t="e">
        <f>MATCH(F39,Data!$XT$1:$YR$1,0)</f>
        <v>#N/A</v>
      </c>
      <c r="AS39" s="239" t="e">
        <f>INDEX(Data!$XT$2:$YR$6,'Cellular Blinds'!AQ39,'Cellular Blinds'!AR39)</f>
        <v>#N/A</v>
      </c>
      <c r="AT39" s="239" t="b">
        <f>IF(D39=Data!$YU$2,Data!$YV$1,IF(D39=Data!$YU$3,Data!$YW$1,IF(D39=Data!$YU$4,Data!$YX$1,IF(D39=Data!$YU$5,Data!$YY$1,IF(D39=Data!$YU$6,Data!$YZ$1,IF(D39=Data!$YU$7,Data!$ZA$1,IF(D39=Data!$YU$8,Data!$ZB$1,IF(D39=Data!$YU$9,Data!$ZC$1,IF(D39=Data!$YU$10,Data!$ZD$1,IF(D39=Data!$YU$11,Data!$ZE$1,IF(D39=Data!$YU$12,Data!$ZE$1,IF(D39=Data!$YU$13,Data!$ZE$1,IF(D39=Data!$YU$14,Data!$ZG$11,IF(D39=Data!$YU$15,Data!$ZF$11))))))))))))))</f>
        <v>0</v>
      </c>
      <c r="AU39" s="239" t="str">
        <f>IF(D39="","",IF(E39=Data!$ZI$2,VLOOKUP(D39,Data!$ZK$2:$ZL$15,2,FALSE),IF(E39=Data!$ZI$1,VLOOKUP(D39,Data!$ZQ$2:$ZR$13,2,FALSE),IF(E39=Data!$ZI$3,VLOOKUP(D39,Data!$ZW$2:$ZX$13,2,FALSE),IF(E39=Data!$ZI$4,VLOOKUP(D39,Data!$AAC$2:$AAD$13,2,FALSE),IF(E39=Data!$ZI$5,VLOOKUP(D39,Data!$AAC$26:$AAD$37,2,FALSE)))))))</f>
        <v/>
      </c>
      <c r="AV39" s="251" t="str">
        <f t="shared" si="12"/>
        <v/>
      </c>
      <c r="AW39" s="251" t="str">
        <f t="shared" si="13"/>
        <v/>
      </c>
      <c r="AX39" s="239" t="str">
        <f t="shared" si="14"/>
        <v/>
      </c>
      <c r="BA39" s="33" t="str">
        <f t="shared" si="15"/>
        <v>FittingBoth</v>
      </c>
      <c r="BN39" s="476" t="str">
        <f t="shared" si="1"/>
        <v>UChannelNA</v>
      </c>
      <c r="BO39" s="476" t="e">
        <f t="shared" si="16"/>
        <v>#N/A</v>
      </c>
      <c r="BP39" s="476" t="str">
        <f t="shared" si="17"/>
        <v>No</v>
      </c>
      <c r="BQ39" s="476" t="str">
        <f t="shared" si="18"/>
        <v>No</v>
      </c>
      <c r="BR39" s="476" t="e">
        <f t="shared" si="2"/>
        <v>#N/A</v>
      </c>
      <c r="BU39" s="172">
        <f t="shared" si="19"/>
        <v>2</v>
      </c>
      <c r="CB39" s="33" t="e">
        <f t="shared" si="3"/>
        <v>#N/A</v>
      </c>
      <c r="CC39" s="172" t="b">
        <f t="shared" si="4"/>
        <v>0</v>
      </c>
      <c r="CD39" s="172">
        <f t="shared" si="5"/>
        <v>0</v>
      </c>
      <c r="CE39" s="172">
        <f t="shared" si="6"/>
        <v>0</v>
      </c>
      <c r="CF39" s="172">
        <f t="shared" si="7"/>
        <v>0</v>
      </c>
      <c r="CG39" s="172">
        <f t="shared" si="8"/>
        <v>0</v>
      </c>
      <c r="CL39" s="239" t="str">
        <f>IF(D39="","",IF(E39=Data!$ZI$2,VLOOKUP(D39,Data!$ZK$2:$ZP$15,3,FALSE),IF(E39=Data!$ZI$1,VLOOKUP(D39,Data!$ZQ$2:$ZS$13,3,FALSE),IF(E39=Data!$ZI$3,VLOOKUP(D39,Data!$ZW$2:$AAB$13,3,FALSE),IF(E39=Data!$ZI$4,VLOOKUP(D39,Data!$AAC$2:$AAI$13,3,FALSE),IF(E39=Data!$ZI$5,VLOOKUP(D39,Data!$AAC$26:$AAI$37,3,FALSE)))))))</f>
        <v/>
      </c>
      <c r="CM39" s="251">
        <f t="shared" si="20"/>
        <v>0</v>
      </c>
      <c r="CN39" s="251" t="e">
        <f t="shared" si="21"/>
        <v>#VALUE!</v>
      </c>
      <c r="CO39" s="239" t="e">
        <f t="shared" si="22"/>
        <v>#VALUE!</v>
      </c>
      <c r="CP39" s="239" t="str">
        <f>IF(D39="","",IF(E39=Data!$ZI$2,VLOOKUP(D39,Data!$ZK$2:$ZN$15,4,FALSE),IF(E39=Data!$ZI$1,VLOOKUP(D39,Data!$ZQ$2:$ZT$13,4,FALSE),IF(E39=Data!$ZI$3,VLOOKUP(D39,Data!$ZW$2:$AAC$13,4,FALSE),IF(E39=Data!$ZI$4,VLOOKUP(D39,Data!$AAC$2:$AAJ$13,4,FALSE),IF(E39=Data!$ZI$5,VLOOKUP(D39,Data!$AAC$26:$AAJ$37,4,FALSE)))))))</f>
        <v/>
      </c>
      <c r="CQ39" s="251">
        <f t="shared" si="23"/>
        <v>0</v>
      </c>
      <c r="CR39" s="251" t="e">
        <f t="shared" si="24"/>
        <v>#VALUE!</v>
      </c>
      <c r="CS39" s="239" t="e">
        <f t="shared" si="25"/>
        <v>#VALUE!</v>
      </c>
      <c r="CT39" s="311">
        <f t="shared" si="26"/>
        <v>0</v>
      </c>
      <c r="CU39" s="239" t="str">
        <f>IF(D39="","",IF(E39=Data!$ZI$2,VLOOKUP(D39,Data!$ZK$2:$ZO$15,5,FALSE),IF(E39=Data!$ZI$1,VLOOKUP(D39,Data!$ZQ$2:$ZU$13,5,FALSE),IF(E39=Data!$ZI$3,VLOOKUP(D39,Data!$ZW$2:$AAD$13,5,FALSE),IF(E39=Data!$ZI$4,VLOOKUP(D39,Data!$AAC$2:$AAK$13,5,FALSE),IF(E39=Data!$ZI$5,VLOOKUP(D39,Data!$AAC$26:$AAK$37,5,FALSE)))))))</f>
        <v/>
      </c>
      <c r="CV39" s="251">
        <f t="shared" si="27"/>
        <v>0</v>
      </c>
      <c r="CW39" s="251" t="e">
        <f t="shared" si="28"/>
        <v>#VALUE!</v>
      </c>
      <c r="CX39" s="239" t="e">
        <f t="shared" si="29"/>
        <v>#VALUE!</v>
      </c>
      <c r="CY39" s="239" t="str">
        <f>IF(D39="","",IF(E39=Data!$ZI$2,VLOOKUP(D39,Data!$ZK$2:$ZP$15,6,FALSE),IF(E39=Data!$ZI$1,VLOOKUP(D39,Data!$ZQ$2:$ZV$13,6,FALSE),IF(E39=Data!$ZI$3,VLOOKUP(D39,Data!$ZW$2:$AAE$13,6,FALSE),IF(E39=Data!$ZI$4,VLOOKUP(D39,Data!$AAC$2:$AAL$13,6,FALSE),IF(E39=Data!$ZI$5,VLOOKUP(D39,Data!$AAC$26:$AAL$37,6,FALSE)))))))</f>
        <v/>
      </c>
      <c r="CZ39" s="251">
        <f t="shared" si="30"/>
        <v>0</v>
      </c>
      <c r="DA39" s="251" t="e">
        <f t="shared" si="31"/>
        <v>#VALUE!</v>
      </c>
      <c r="DB39" s="239" t="e">
        <f t="shared" si="32"/>
        <v>#VALUE!</v>
      </c>
      <c r="DC39" s="311">
        <f t="shared" si="33"/>
        <v>0</v>
      </c>
    </row>
    <row r="40" spans="1:107" ht="30" customHeight="1">
      <c r="A40" s="52">
        <v>33</v>
      </c>
      <c r="B40" s="13"/>
      <c r="C40" s="13"/>
      <c r="D40" s="13"/>
      <c r="E40" s="235"/>
      <c r="F40" s="235"/>
      <c r="G40" s="235"/>
      <c r="H40" s="235"/>
      <c r="I40" s="14"/>
      <c r="J40" s="14"/>
      <c r="K40" s="14"/>
      <c r="L40" s="14"/>
      <c r="M40" s="525"/>
      <c r="N40" s="526"/>
      <c r="O40" s="15"/>
      <c r="P40" s="15"/>
      <c r="Q40" s="15"/>
      <c r="R40" s="15"/>
      <c r="S40" s="15"/>
      <c r="T40" s="13" t="str">
        <f t="shared" si="9"/>
        <v/>
      </c>
      <c r="U40" s="253" t="str">
        <f t="shared" si="10"/>
        <v/>
      </c>
      <c r="V40" s="471"/>
      <c r="W40" s="482" t="b">
        <f t="shared" si="11"/>
        <v>0</v>
      </c>
      <c r="X40" s="230"/>
      <c r="Y40" s="253"/>
      <c r="AA40" s="33" t="str">
        <f>IF(SUM(--ISNUMBER(SEARCH({"Skylight"}, D40))),Data!$AJ$19,Data!$AJ$1)</f>
        <v>WindowType</v>
      </c>
      <c r="AB40" s="33" t="str">
        <f t="shared" ref="AB40:AB57" si="34">IF(AND(C40&gt;0,P40=""),"Enter","OK")</f>
        <v>OK</v>
      </c>
      <c r="AE40" s="239" t="e">
        <f>MATCH(E40, Data!$TB$2:$TB$6,0)</f>
        <v>#N/A</v>
      </c>
      <c r="AF40" s="239" t="e">
        <f>MATCH(F40,Data!$TC$1:$UB$1,0)</f>
        <v>#N/A</v>
      </c>
      <c r="AG40" s="239" t="e">
        <f>INDEX(Data!$TC$2:$UB$6,'Cellular Blinds'!AE40,'Cellular Blinds'!AF40)</f>
        <v>#N/A</v>
      </c>
      <c r="AH40" s="33" t="e">
        <f>VLOOKUP(D40,Data!$RU$2:$RV$15,2,FALSE)</f>
        <v>#N/A</v>
      </c>
      <c r="AI40" s="33" t="b">
        <f>IF(D40=Data!$UT$2,Data!$UU$1,IF(D40=Data!$UT$3,Data!$UV$1,IF(D40=Data!$UT$4,Data!$UW$1,IF(D40=Data!$UT$5,Data!$UX$1,IF(D40=Data!$UT$6,Data!$UY$1,IF(D40=Data!$UT$7,Data!$UZ$1,IF(D40=Data!$UT$8,Data!$VA$1,IF(D40=Data!$UT$9,Data!$VB$1,IF(D40=Data!$UT$10,Data!$VC$1,IF(D40=Data!$UT$11,Data!$VD$1,IF(D40=Data!$UT$12,Data!$VD$22,IF(D40=Data!$UT$13,Data!$VD$22,IF(D40=Data!$UT$14,Data!$UU$13,IF(D40=Data!$UT$15,Data!$UV$13))))))))))))))</f>
        <v>0</v>
      </c>
      <c r="AJ40" s="239" t="e">
        <f>MATCH(D40,Data!$VL$27:$VL$40,0)</f>
        <v>#N/A</v>
      </c>
      <c r="AK40" s="239" t="e">
        <f>MATCH(E40,Data!$VM$26:$VQ$26,0)</f>
        <v>#N/A</v>
      </c>
      <c r="AL40" s="239" t="e">
        <f>INDEX(Data!$VM$27:$VQ$40,'Cellular Blinds'!AJ40,'Cellular Blinds'!AK40)</f>
        <v>#N/A</v>
      </c>
      <c r="AM40" s="239" t="e">
        <f>MATCH(D40, Data!$VL$2:$VL$16,0)</f>
        <v>#N/A</v>
      </c>
      <c r="AN40" s="239" t="e">
        <f>MATCH(E40,Data!$VM$1:$VQ$1,0)</f>
        <v>#N/A</v>
      </c>
      <c r="AO40" s="239" t="e">
        <f>INDEX(Data!$VM$2:$VQ$16,'Cellular Blinds'!AM40,'Cellular Blinds'!AN40)</f>
        <v>#N/A</v>
      </c>
      <c r="AP40" s="33" t="e">
        <f>VLOOKUP(P40,Data!$UW$14:$UX$28,2,FALSE)</f>
        <v>#N/A</v>
      </c>
      <c r="AQ40" s="239" t="e">
        <f>MATCH(E40, Data!$XS$2:$XS$6,0)</f>
        <v>#N/A</v>
      </c>
      <c r="AR40" s="239" t="e">
        <f>MATCH(F40,Data!$XT$1:$YR$1,0)</f>
        <v>#N/A</v>
      </c>
      <c r="AS40" s="239" t="e">
        <f>INDEX(Data!$XT$2:$YR$6,'Cellular Blinds'!AQ40,'Cellular Blinds'!AR40)</f>
        <v>#N/A</v>
      </c>
      <c r="AT40" s="239" t="b">
        <f>IF(D40=Data!$YU$2,Data!$YV$1,IF(D40=Data!$YU$3,Data!$YW$1,IF(D40=Data!$YU$4,Data!$YX$1,IF(D40=Data!$YU$5,Data!$YY$1,IF(D40=Data!$YU$6,Data!$YZ$1,IF(D40=Data!$YU$7,Data!$ZA$1,IF(D40=Data!$YU$8,Data!$ZB$1,IF(D40=Data!$YU$9,Data!$ZC$1,IF(D40=Data!$YU$10,Data!$ZD$1,IF(D40=Data!$YU$11,Data!$ZE$1,IF(D40=Data!$YU$12,Data!$ZE$1,IF(D40=Data!$YU$13,Data!$ZE$1,IF(D40=Data!$YU$14,Data!$ZG$11,IF(D40=Data!$YU$15,Data!$ZF$11))))))))))))))</f>
        <v>0</v>
      </c>
      <c r="AU40" s="239" t="str">
        <f>IF(D40="","",IF(E40=Data!$ZI$2,VLOOKUP(D40,Data!$ZK$2:$ZL$15,2,FALSE),IF(E40=Data!$ZI$1,VLOOKUP(D40,Data!$ZQ$2:$ZR$13,2,FALSE),IF(E40=Data!$ZI$3,VLOOKUP(D40,Data!$ZW$2:$ZX$13,2,FALSE),IF(E40=Data!$ZI$4,VLOOKUP(D40,Data!$AAC$2:$AAD$13,2,FALSE),IF(E40=Data!$ZI$5,VLOOKUP(D40,Data!$AAC$26:$AAD$37,2,FALSE)))))))</f>
        <v/>
      </c>
      <c r="AV40" s="251" t="str">
        <f t="shared" si="12"/>
        <v/>
      </c>
      <c r="AW40" s="251" t="str">
        <f t="shared" si="13"/>
        <v/>
      </c>
      <c r="AX40" s="239" t="str">
        <f t="shared" si="14"/>
        <v/>
      </c>
      <c r="BA40" s="33" t="str">
        <f t="shared" si="15"/>
        <v>FittingBoth</v>
      </c>
      <c r="BN40" s="476" t="str">
        <f t="shared" ref="BN40:BN58" si="35">IF(BU40&lt;&gt;0,$BK$7,$BL$7)</f>
        <v>UChannelNA</v>
      </c>
      <c r="BO40" s="476" t="e">
        <f t="shared" si="16"/>
        <v>#N/A</v>
      </c>
      <c r="BP40" s="476" t="str">
        <f t="shared" si="17"/>
        <v>No</v>
      </c>
      <c r="BQ40" s="476" t="str">
        <f t="shared" si="18"/>
        <v>No</v>
      </c>
      <c r="BR40" s="476" t="e">
        <f t="shared" ref="BR40:BR58" si="36">VLOOKUP(D40,$BS$8:$BT$21,2,FALSE)</f>
        <v>#N/A</v>
      </c>
      <c r="BU40" s="172">
        <f t="shared" si="19"/>
        <v>2</v>
      </c>
      <c r="CB40" s="33" t="e">
        <f t="shared" ref="CB40:CB57" si="37">VLOOKUP(R40,$BX$8:$BY$11,2,FALSE)</f>
        <v>#N/A</v>
      </c>
      <c r="CC40" s="172" t="b">
        <f t="shared" ref="CC40:CC57" si="38">IF(R40=$CC$2,((C40*J40*2)/1000),IF(R40=$CC$3,(((C40*J40*2)+C40*I40)/1000)))</f>
        <v>0</v>
      </c>
      <c r="CD40" s="172">
        <f t="shared" ref="CD40:CD57" si="39">IF(S40=$CD$7,CC40,0)</f>
        <v>0</v>
      </c>
      <c r="CE40" s="172">
        <f t="shared" ref="CE40:CE57" si="40">IF(S40=$CE$7,CC40,0)</f>
        <v>0</v>
      </c>
      <c r="CF40" s="172">
        <f t="shared" ref="CF40:CF57" si="41">IF(S40=$CF$7,CC40,0)</f>
        <v>0</v>
      </c>
      <c r="CG40" s="172">
        <f t="shared" ref="CG40:CG57" si="42">IF(S40=$CG$7,CC40,0)</f>
        <v>0</v>
      </c>
      <c r="CL40" s="239" t="str">
        <f>IF(D40="","",IF(E40=Data!$ZI$2,VLOOKUP(D40,Data!$ZK$2:$ZP$15,3,FALSE),IF(E40=Data!$ZI$1,VLOOKUP(D40,Data!$ZQ$2:$ZS$13,3,FALSE),IF(E40=Data!$ZI$3,VLOOKUP(D40,Data!$ZW$2:$AAB$13,3,FALSE),IF(E40=Data!$ZI$4,VLOOKUP(D40,Data!$AAC$2:$AAI$13,3,FALSE),IF(E40=Data!$ZI$5,VLOOKUP(D40,Data!$AAC$26:$AAI$37,3,FALSE)))))))</f>
        <v/>
      </c>
      <c r="CM40" s="251">
        <f t="shared" si="20"/>
        <v>0</v>
      </c>
      <c r="CN40" s="251" t="e">
        <f t="shared" si="21"/>
        <v>#VALUE!</v>
      </c>
      <c r="CO40" s="239" t="e">
        <f t="shared" si="22"/>
        <v>#VALUE!</v>
      </c>
      <c r="CP40" s="239" t="str">
        <f>IF(D40="","",IF(E40=Data!$ZI$2,VLOOKUP(D40,Data!$ZK$2:$ZN$15,4,FALSE),IF(E40=Data!$ZI$1,VLOOKUP(D40,Data!$ZQ$2:$ZT$13,4,FALSE),IF(E40=Data!$ZI$3,VLOOKUP(D40,Data!$ZW$2:$AAC$13,4,FALSE),IF(E40=Data!$ZI$4,VLOOKUP(D40,Data!$AAC$2:$AAJ$13,4,FALSE),IF(E40=Data!$ZI$5,VLOOKUP(D40,Data!$AAC$26:$AAJ$37,4,FALSE)))))))</f>
        <v/>
      </c>
      <c r="CQ40" s="251">
        <f t="shared" si="23"/>
        <v>0</v>
      </c>
      <c r="CR40" s="251" t="e">
        <f t="shared" si="24"/>
        <v>#VALUE!</v>
      </c>
      <c r="CS40" s="239" t="e">
        <f t="shared" si="25"/>
        <v>#VALUE!</v>
      </c>
      <c r="CT40" s="311">
        <f t="shared" si="26"/>
        <v>0</v>
      </c>
      <c r="CU40" s="239" t="str">
        <f>IF(D40="","",IF(E40=Data!$ZI$2,VLOOKUP(D40,Data!$ZK$2:$ZO$15,5,FALSE),IF(E40=Data!$ZI$1,VLOOKUP(D40,Data!$ZQ$2:$ZU$13,5,FALSE),IF(E40=Data!$ZI$3,VLOOKUP(D40,Data!$ZW$2:$AAD$13,5,FALSE),IF(E40=Data!$ZI$4,VLOOKUP(D40,Data!$AAC$2:$AAK$13,5,FALSE),IF(E40=Data!$ZI$5,VLOOKUP(D40,Data!$AAC$26:$AAK$37,5,FALSE)))))))</f>
        <v/>
      </c>
      <c r="CV40" s="251">
        <f t="shared" si="27"/>
        <v>0</v>
      </c>
      <c r="CW40" s="251" t="e">
        <f t="shared" si="28"/>
        <v>#VALUE!</v>
      </c>
      <c r="CX40" s="239" t="e">
        <f t="shared" si="29"/>
        <v>#VALUE!</v>
      </c>
      <c r="CY40" s="239" t="str">
        <f>IF(D40="","",IF(E40=Data!$ZI$2,VLOOKUP(D40,Data!$ZK$2:$ZP$15,6,FALSE),IF(E40=Data!$ZI$1,VLOOKUP(D40,Data!$ZQ$2:$ZV$13,6,FALSE),IF(E40=Data!$ZI$3,VLOOKUP(D40,Data!$ZW$2:$AAE$13,6,FALSE),IF(E40=Data!$ZI$4,VLOOKUP(D40,Data!$AAC$2:$AAL$13,6,FALSE),IF(E40=Data!$ZI$5,VLOOKUP(D40,Data!$AAC$26:$AAL$37,6,FALSE)))))))</f>
        <v/>
      </c>
      <c r="CZ40" s="251">
        <f t="shared" si="30"/>
        <v>0</v>
      </c>
      <c r="DA40" s="251" t="e">
        <f t="shared" si="31"/>
        <v>#VALUE!</v>
      </c>
      <c r="DB40" s="239" t="e">
        <f t="shared" si="32"/>
        <v>#VALUE!</v>
      </c>
      <c r="DC40" s="311">
        <f t="shared" si="33"/>
        <v>0</v>
      </c>
    </row>
    <row r="41" spans="1:107" ht="30" customHeight="1">
      <c r="A41" s="52">
        <v>34</v>
      </c>
      <c r="B41" s="13"/>
      <c r="C41" s="13"/>
      <c r="D41" s="13"/>
      <c r="E41" s="235"/>
      <c r="F41" s="235"/>
      <c r="G41" s="235"/>
      <c r="H41" s="235"/>
      <c r="I41" s="14"/>
      <c r="J41" s="14"/>
      <c r="K41" s="14"/>
      <c r="L41" s="14"/>
      <c r="M41" s="525"/>
      <c r="N41" s="526"/>
      <c r="O41" s="15"/>
      <c r="P41" s="15"/>
      <c r="Q41" s="15"/>
      <c r="R41" s="15"/>
      <c r="S41" s="15"/>
      <c r="T41" s="13" t="str">
        <f t="shared" si="9"/>
        <v/>
      </c>
      <c r="U41" s="253" t="str">
        <f t="shared" si="10"/>
        <v/>
      </c>
      <c r="V41" s="471"/>
      <c r="W41" s="482" t="b">
        <f t="shared" si="11"/>
        <v>0</v>
      </c>
      <c r="X41" s="230"/>
      <c r="Y41" s="253"/>
      <c r="AA41" s="33" t="str">
        <f>IF(SUM(--ISNUMBER(SEARCH({"Skylight"}, D41))),Data!$AJ$19,Data!$AJ$1)</f>
        <v>WindowType</v>
      </c>
      <c r="AB41" s="33" t="str">
        <f t="shared" si="34"/>
        <v>OK</v>
      </c>
      <c r="AE41" s="239" t="e">
        <f>MATCH(E41, Data!$TB$2:$TB$6,0)</f>
        <v>#N/A</v>
      </c>
      <c r="AF41" s="239" t="e">
        <f>MATCH(F41,Data!$TC$1:$UB$1,0)</f>
        <v>#N/A</v>
      </c>
      <c r="AG41" s="239" t="e">
        <f>INDEX(Data!$TC$2:$UB$6,'Cellular Blinds'!AE41,'Cellular Blinds'!AF41)</f>
        <v>#N/A</v>
      </c>
      <c r="AH41" s="33" t="e">
        <f>VLOOKUP(D41,Data!$RU$2:$RV$15,2,FALSE)</f>
        <v>#N/A</v>
      </c>
      <c r="AI41" s="33" t="b">
        <f>IF(D41=Data!$UT$2,Data!$UU$1,IF(D41=Data!$UT$3,Data!$UV$1,IF(D41=Data!$UT$4,Data!$UW$1,IF(D41=Data!$UT$5,Data!$UX$1,IF(D41=Data!$UT$6,Data!$UY$1,IF(D41=Data!$UT$7,Data!$UZ$1,IF(D41=Data!$UT$8,Data!$VA$1,IF(D41=Data!$UT$9,Data!$VB$1,IF(D41=Data!$UT$10,Data!$VC$1,IF(D41=Data!$UT$11,Data!$VD$1,IF(D41=Data!$UT$12,Data!$VD$22,IF(D41=Data!$UT$13,Data!$VD$22,IF(D41=Data!$UT$14,Data!$UU$13,IF(D41=Data!$UT$15,Data!$UV$13))))))))))))))</f>
        <v>0</v>
      </c>
      <c r="AJ41" s="239" t="e">
        <f>MATCH(D41,Data!$VL$27:$VL$40,0)</f>
        <v>#N/A</v>
      </c>
      <c r="AK41" s="239" t="e">
        <f>MATCH(E41,Data!$VM$26:$VQ$26,0)</f>
        <v>#N/A</v>
      </c>
      <c r="AL41" s="239" t="e">
        <f>INDEX(Data!$VM$27:$VQ$40,'Cellular Blinds'!AJ41,'Cellular Blinds'!AK41)</f>
        <v>#N/A</v>
      </c>
      <c r="AM41" s="239" t="e">
        <f>MATCH(D41, Data!$VL$2:$VL$16,0)</f>
        <v>#N/A</v>
      </c>
      <c r="AN41" s="239" t="e">
        <f>MATCH(E41,Data!$VM$1:$VQ$1,0)</f>
        <v>#N/A</v>
      </c>
      <c r="AO41" s="239" t="e">
        <f>INDEX(Data!$VM$2:$VQ$16,'Cellular Blinds'!AM41,'Cellular Blinds'!AN41)</f>
        <v>#N/A</v>
      </c>
      <c r="AP41" s="33" t="e">
        <f>VLOOKUP(P41,Data!$UW$14:$UX$28,2,FALSE)</f>
        <v>#N/A</v>
      </c>
      <c r="AQ41" s="239" t="e">
        <f>MATCH(E41, Data!$XS$2:$XS$6,0)</f>
        <v>#N/A</v>
      </c>
      <c r="AR41" s="239" t="e">
        <f>MATCH(F41,Data!$XT$1:$YR$1,0)</f>
        <v>#N/A</v>
      </c>
      <c r="AS41" s="239" t="e">
        <f>INDEX(Data!$XT$2:$YR$6,'Cellular Blinds'!AQ41,'Cellular Blinds'!AR41)</f>
        <v>#N/A</v>
      </c>
      <c r="AT41" s="239" t="b">
        <f>IF(D41=Data!$YU$2,Data!$YV$1,IF(D41=Data!$YU$3,Data!$YW$1,IF(D41=Data!$YU$4,Data!$YX$1,IF(D41=Data!$YU$5,Data!$YY$1,IF(D41=Data!$YU$6,Data!$YZ$1,IF(D41=Data!$YU$7,Data!$ZA$1,IF(D41=Data!$YU$8,Data!$ZB$1,IF(D41=Data!$YU$9,Data!$ZC$1,IF(D41=Data!$YU$10,Data!$ZD$1,IF(D41=Data!$YU$11,Data!$ZE$1,IF(D41=Data!$YU$12,Data!$ZE$1,IF(D41=Data!$YU$13,Data!$ZE$1,IF(D41=Data!$YU$14,Data!$ZG$11,IF(D41=Data!$YU$15,Data!$ZF$11))))))))))))))</f>
        <v>0</v>
      </c>
      <c r="AU41" s="239" t="str">
        <f>IF(D41="","",IF(E41=Data!$ZI$2,VLOOKUP(D41,Data!$ZK$2:$ZL$15,2,FALSE),IF(E41=Data!$ZI$1,VLOOKUP(D41,Data!$ZQ$2:$ZR$13,2,FALSE),IF(E41=Data!$ZI$3,VLOOKUP(D41,Data!$ZW$2:$ZX$13,2,FALSE),IF(E41=Data!$ZI$4,VLOOKUP(D41,Data!$AAC$2:$AAD$13,2,FALSE),IF(E41=Data!$ZI$5,VLOOKUP(D41,Data!$AAC$26:$AAD$37,2,FALSE)))))))</f>
        <v/>
      </c>
      <c r="AV41" s="251" t="str">
        <f t="shared" si="12"/>
        <v/>
      </c>
      <c r="AW41" s="251" t="str">
        <f t="shared" si="13"/>
        <v/>
      </c>
      <c r="AX41" s="239" t="str">
        <f t="shared" si="14"/>
        <v/>
      </c>
      <c r="BA41" s="33" t="str">
        <f t="shared" si="15"/>
        <v>FittingBoth</v>
      </c>
      <c r="BN41" s="476" t="str">
        <f t="shared" si="35"/>
        <v>UChannelNA</v>
      </c>
      <c r="BO41" s="476" t="e">
        <f t="shared" si="16"/>
        <v>#N/A</v>
      </c>
      <c r="BP41" s="476" t="str">
        <f t="shared" si="17"/>
        <v>No</v>
      </c>
      <c r="BQ41" s="476" t="str">
        <f t="shared" si="18"/>
        <v>No</v>
      </c>
      <c r="BR41" s="476" t="e">
        <f t="shared" si="36"/>
        <v>#N/A</v>
      </c>
      <c r="BU41" s="172">
        <f t="shared" si="19"/>
        <v>2</v>
      </c>
      <c r="CB41" s="33" t="e">
        <f t="shared" si="37"/>
        <v>#N/A</v>
      </c>
      <c r="CC41" s="172" t="b">
        <f t="shared" si="38"/>
        <v>0</v>
      </c>
      <c r="CD41" s="172">
        <f t="shared" si="39"/>
        <v>0</v>
      </c>
      <c r="CE41" s="172">
        <f t="shared" si="40"/>
        <v>0</v>
      </c>
      <c r="CF41" s="172">
        <f t="shared" si="41"/>
        <v>0</v>
      </c>
      <c r="CG41" s="172">
        <f t="shared" si="42"/>
        <v>0</v>
      </c>
      <c r="CL41" s="239" t="str">
        <f>IF(D41="","",IF(E41=Data!$ZI$2,VLOOKUP(D41,Data!$ZK$2:$ZP$15,3,FALSE),IF(E41=Data!$ZI$1,VLOOKUP(D41,Data!$ZQ$2:$ZS$13,3,FALSE),IF(E41=Data!$ZI$3,VLOOKUP(D41,Data!$ZW$2:$AAB$13,3,FALSE),IF(E41=Data!$ZI$4,VLOOKUP(D41,Data!$AAC$2:$AAI$13,3,FALSE),IF(E41=Data!$ZI$5,VLOOKUP(D41,Data!$AAC$26:$AAI$37,3,FALSE)))))))</f>
        <v/>
      </c>
      <c r="CM41" s="251">
        <f t="shared" si="20"/>
        <v>0</v>
      </c>
      <c r="CN41" s="251" t="e">
        <f t="shared" si="21"/>
        <v>#VALUE!</v>
      </c>
      <c r="CO41" s="239" t="e">
        <f t="shared" si="22"/>
        <v>#VALUE!</v>
      </c>
      <c r="CP41" s="239" t="str">
        <f>IF(D41="","",IF(E41=Data!$ZI$2,VLOOKUP(D41,Data!$ZK$2:$ZN$15,4,FALSE),IF(E41=Data!$ZI$1,VLOOKUP(D41,Data!$ZQ$2:$ZT$13,4,FALSE),IF(E41=Data!$ZI$3,VLOOKUP(D41,Data!$ZW$2:$AAC$13,4,FALSE),IF(E41=Data!$ZI$4,VLOOKUP(D41,Data!$AAC$2:$AAJ$13,4,FALSE),IF(E41=Data!$ZI$5,VLOOKUP(D41,Data!$AAC$26:$AAJ$37,4,FALSE)))))))</f>
        <v/>
      </c>
      <c r="CQ41" s="251">
        <f t="shared" si="23"/>
        <v>0</v>
      </c>
      <c r="CR41" s="251" t="e">
        <f t="shared" si="24"/>
        <v>#VALUE!</v>
      </c>
      <c r="CS41" s="239" t="e">
        <f t="shared" si="25"/>
        <v>#VALUE!</v>
      </c>
      <c r="CT41" s="311">
        <f t="shared" si="26"/>
        <v>0</v>
      </c>
      <c r="CU41" s="239" t="str">
        <f>IF(D41="","",IF(E41=Data!$ZI$2,VLOOKUP(D41,Data!$ZK$2:$ZO$15,5,FALSE),IF(E41=Data!$ZI$1,VLOOKUP(D41,Data!$ZQ$2:$ZU$13,5,FALSE),IF(E41=Data!$ZI$3,VLOOKUP(D41,Data!$ZW$2:$AAD$13,5,FALSE),IF(E41=Data!$ZI$4,VLOOKUP(D41,Data!$AAC$2:$AAK$13,5,FALSE),IF(E41=Data!$ZI$5,VLOOKUP(D41,Data!$AAC$26:$AAK$37,5,FALSE)))))))</f>
        <v/>
      </c>
      <c r="CV41" s="251">
        <f t="shared" si="27"/>
        <v>0</v>
      </c>
      <c r="CW41" s="251" t="e">
        <f t="shared" si="28"/>
        <v>#VALUE!</v>
      </c>
      <c r="CX41" s="239" t="e">
        <f t="shared" si="29"/>
        <v>#VALUE!</v>
      </c>
      <c r="CY41" s="239" t="str">
        <f>IF(D41="","",IF(E41=Data!$ZI$2,VLOOKUP(D41,Data!$ZK$2:$ZP$15,6,FALSE),IF(E41=Data!$ZI$1,VLOOKUP(D41,Data!$ZQ$2:$ZV$13,6,FALSE),IF(E41=Data!$ZI$3,VLOOKUP(D41,Data!$ZW$2:$AAE$13,6,FALSE),IF(E41=Data!$ZI$4,VLOOKUP(D41,Data!$AAC$2:$AAL$13,6,FALSE),IF(E41=Data!$ZI$5,VLOOKUP(D41,Data!$AAC$26:$AAL$37,6,FALSE)))))))</f>
        <v/>
      </c>
      <c r="CZ41" s="251">
        <f t="shared" si="30"/>
        <v>0</v>
      </c>
      <c r="DA41" s="251" t="e">
        <f t="shared" si="31"/>
        <v>#VALUE!</v>
      </c>
      <c r="DB41" s="239" t="e">
        <f t="shared" si="32"/>
        <v>#VALUE!</v>
      </c>
      <c r="DC41" s="311">
        <f t="shared" si="33"/>
        <v>0</v>
      </c>
    </row>
    <row r="42" spans="1:107" ht="30" customHeight="1">
      <c r="A42" s="52">
        <v>35</v>
      </c>
      <c r="B42" s="13"/>
      <c r="C42" s="13"/>
      <c r="D42" s="13"/>
      <c r="E42" s="235"/>
      <c r="F42" s="235"/>
      <c r="G42" s="235"/>
      <c r="H42" s="235"/>
      <c r="I42" s="14"/>
      <c r="J42" s="14"/>
      <c r="K42" s="14"/>
      <c r="L42" s="14"/>
      <c r="M42" s="525"/>
      <c r="N42" s="526"/>
      <c r="O42" s="15"/>
      <c r="P42" s="15"/>
      <c r="Q42" s="15"/>
      <c r="R42" s="15"/>
      <c r="S42" s="15"/>
      <c r="T42" s="13" t="str">
        <f t="shared" si="9"/>
        <v/>
      </c>
      <c r="U42" s="253" t="str">
        <f t="shared" si="10"/>
        <v/>
      </c>
      <c r="V42" s="471"/>
      <c r="W42" s="482" t="b">
        <f t="shared" si="11"/>
        <v>0</v>
      </c>
      <c r="X42" s="230"/>
      <c r="Y42" s="253"/>
      <c r="AA42" s="33" t="str">
        <f>IF(SUM(--ISNUMBER(SEARCH({"Skylight"}, D42))),Data!$AJ$19,Data!$AJ$1)</f>
        <v>WindowType</v>
      </c>
      <c r="AB42" s="33" t="str">
        <f t="shared" si="34"/>
        <v>OK</v>
      </c>
      <c r="AE42" s="239" t="e">
        <f>MATCH(E42, Data!$TB$2:$TB$6,0)</f>
        <v>#N/A</v>
      </c>
      <c r="AF42" s="239" t="e">
        <f>MATCH(F42,Data!$TC$1:$UB$1,0)</f>
        <v>#N/A</v>
      </c>
      <c r="AG42" s="239" t="e">
        <f>INDEX(Data!$TC$2:$UB$6,'Cellular Blinds'!AE42,'Cellular Blinds'!AF42)</f>
        <v>#N/A</v>
      </c>
      <c r="AH42" s="33" t="e">
        <f>VLOOKUP(D42,Data!$RU$2:$RV$15,2,FALSE)</f>
        <v>#N/A</v>
      </c>
      <c r="AI42" s="33" t="b">
        <f>IF(D42=Data!$UT$2,Data!$UU$1,IF(D42=Data!$UT$3,Data!$UV$1,IF(D42=Data!$UT$4,Data!$UW$1,IF(D42=Data!$UT$5,Data!$UX$1,IF(D42=Data!$UT$6,Data!$UY$1,IF(D42=Data!$UT$7,Data!$UZ$1,IF(D42=Data!$UT$8,Data!$VA$1,IF(D42=Data!$UT$9,Data!$VB$1,IF(D42=Data!$UT$10,Data!$VC$1,IF(D42=Data!$UT$11,Data!$VD$1,IF(D42=Data!$UT$12,Data!$VD$22,IF(D42=Data!$UT$13,Data!$VD$22,IF(D42=Data!$UT$14,Data!$UU$13,IF(D42=Data!$UT$15,Data!$UV$13))))))))))))))</f>
        <v>0</v>
      </c>
      <c r="AJ42" s="239" t="e">
        <f>MATCH(D42,Data!$VL$27:$VL$40,0)</f>
        <v>#N/A</v>
      </c>
      <c r="AK42" s="239" t="e">
        <f>MATCH(E42,Data!$VM$26:$VQ$26,0)</f>
        <v>#N/A</v>
      </c>
      <c r="AL42" s="239" t="e">
        <f>INDEX(Data!$VM$27:$VQ$40,'Cellular Blinds'!AJ42,'Cellular Blinds'!AK42)</f>
        <v>#N/A</v>
      </c>
      <c r="AM42" s="239" t="e">
        <f>MATCH(D42, Data!$VL$2:$VL$16,0)</f>
        <v>#N/A</v>
      </c>
      <c r="AN42" s="239" t="e">
        <f>MATCH(E42,Data!$VM$1:$VQ$1,0)</f>
        <v>#N/A</v>
      </c>
      <c r="AO42" s="239" t="e">
        <f>INDEX(Data!$VM$2:$VQ$16,'Cellular Blinds'!AM42,'Cellular Blinds'!AN42)</f>
        <v>#N/A</v>
      </c>
      <c r="AP42" s="33" t="e">
        <f>VLOOKUP(P42,Data!$UW$14:$UX$28,2,FALSE)</f>
        <v>#N/A</v>
      </c>
      <c r="AQ42" s="239" t="e">
        <f>MATCH(E42, Data!$XS$2:$XS$6,0)</f>
        <v>#N/A</v>
      </c>
      <c r="AR42" s="239" t="e">
        <f>MATCH(F42,Data!$XT$1:$YR$1,0)</f>
        <v>#N/A</v>
      </c>
      <c r="AS42" s="239" t="e">
        <f>INDEX(Data!$XT$2:$YR$6,'Cellular Blinds'!AQ42,'Cellular Blinds'!AR42)</f>
        <v>#N/A</v>
      </c>
      <c r="AT42" s="239" t="b">
        <f>IF(D42=Data!$YU$2,Data!$YV$1,IF(D42=Data!$YU$3,Data!$YW$1,IF(D42=Data!$YU$4,Data!$YX$1,IF(D42=Data!$YU$5,Data!$YY$1,IF(D42=Data!$YU$6,Data!$YZ$1,IF(D42=Data!$YU$7,Data!$ZA$1,IF(D42=Data!$YU$8,Data!$ZB$1,IF(D42=Data!$YU$9,Data!$ZC$1,IF(D42=Data!$YU$10,Data!$ZD$1,IF(D42=Data!$YU$11,Data!$ZE$1,IF(D42=Data!$YU$12,Data!$ZE$1,IF(D42=Data!$YU$13,Data!$ZE$1,IF(D42=Data!$YU$14,Data!$ZG$11,IF(D42=Data!$YU$15,Data!$ZF$11))))))))))))))</f>
        <v>0</v>
      </c>
      <c r="AU42" s="239" t="str">
        <f>IF(D42="","",IF(E42=Data!$ZI$2,VLOOKUP(D42,Data!$ZK$2:$ZL$15,2,FALSE),IF(E42=Data!$ZI$1,VLOOKUP(D42,Data!$ZQ$2:$ZR$13,2,FALSE),IF(E42=Data!$ZI$3,VLOOKUP(D42,Data!$ZW$2:$ZX$13,2,FALSE),IF(E42=Data!$ZI$4,VLOOKUP(D42,Data!$AAC$2:$AAD$13,2,FALSE),IF(E42=Data!$ZI$5,VLOOKUP(D42,Data!$AAC$26:$AAD$37,2,FALSE)))))))</f>
        <v/>
      </c>
      <c r="AV42" s="251" t="str">
        <f t="shared" si="12"/>
        <v/>
      </c>
      <c r="AW42" s="251" t="str">
        <f t="shared" si="13"/>
        <v/>
      </c>
      <c r="AX42" s="239" t="str">
        <f t="shared" si="14"/>
        <v/>
      </c>
      <c r="BA42" s="33" t="str">
        <f t="shared" si="15"/>
        <v>FittingBoth</v>
      </c>
      <c r="BN42" s="476" t="str">
        <f t="shared" si="35"/>
        <v>UChannelNA</v>
      </c>
      <c r="BO42" s="476" t="e">
        <f t="shared" si="16"/>
        <v>#N/A</v>
      </c>
      <c r="BP42" s="476" t="str">
        <f t="shared" si="17"/>
        <v>No</v>
      </c>
      <c r="BQ42" s="476" t="str">
        <f t="shared" si="18"/>
        <v>No</v>
      </c>
      <c r="BR42" s="476" t="e">
        <f t="shared" si="36"/>
        <v>#N/A</v>
      </c>
      <c r="BU42" s="172">
        <f t="shared" si="19"/>
        <v>2</v>
      </c>
      <c r="CB42" s="33" t="e">
        <f t="shared" si="37"/>
        <v>#N/A</v>
      </c>
      <c r="CC42" s="172" t="b">
        <f t="shared" si="38"/>
        <v>0</v>
      </c>
      <c r="CD42" s="172">
        <f t="shared" si="39"/>
        <v>0</v>
      </c>
      <c r="CE42" s="172">
        <f t="shared" si="40"/>
        <v>0</v>
      </c>
      <c r="CF42" s="172">
        <f t="shared" si="41"/>
        <v>0</v>
      </c>
      <c r="CG42" s="172">
        <f t="shared" si="42"/>
        <v>0</v>
      </c>
      <c r="CL42" s="239" t="str">
        <f>IF(D42="","",IF(E42=Data!$ZI$2,VLOOKUP(D42,Data!$ZK$2:$ZP$15,3,FALSE),IF(E42=Data!$ZI$1,VLOOKUP(D42,Data!$ZQ$2:$ZS$13,3,FALSE),IF(E42=Data!$ZI$3,VLOOKUP(D42,Data!$ZW$2:$AAB$13,3,FALSE),IF(E42=Data!$ZI$4,VLOOKUP(D42,Data!$AAC$2:$AAI$13,3,FALSE),IF(E42=Data!$ZI$5,VLOOKUP(D42,Data!$AAC$26:$AAI$37,3,FALSE)))))))</f>
        <v/>
      </c>
      <c r="CM42" s="251">
        <f t="shared" si="20"/>
        <v>0</v>
      </c>
      <c r="CN42" s="251" t="e">
        <f t="shared" si="21"/>
        <v>#VALUE!</v>
      </c>
      <c r="CO42" s="239" t="e">
        <f t="shared" si="22"/>
        <v>#VALUE!</v>
      </c>
      <c r="CP42" s="239" t="str">
        <f>IF(D42="","",IF(E42=Data!$ZI$2,VLOOKUP(D42,Data!$ZK$2:$ZN$15,4,FALSE),IF(E42=Data!$ZI$1,VLOOKUP(D42,Data!$ZQ$2:$ZT$13,4,FALSE),IF(E42=Data!$ZI$3,VLOOKUP(D42,Data!$ZW$2:$AAC$13,4,FALSE),IF(E42=Data!$ZI$4,VLOOKUP(D42,Data!$AAC$2:$AAJ$13,4,FALSE),IF(E42=Data!$ZI$5,VLOOKUP(D42,Data!$AAC$26:$AAJ$37,4,FALSE)))))))</f>
        <v/>
      </c>
      <c r="CQ42" s="251">
        <f t="shared" si="23"/>
        <v>0</v>
      </c>
      <c r="CR42" s="251" t="e">
        <f t="shared" si="24"/>
        <v>#VALUE!</v>
      </c>
      <c r="CS42" s="239" t="e">
        <f t="shared" si="25"/>
        <v>#VALUE!</v>
      </c>
      <c r="CT42" s="311">
        <f t="shared" si="26"/>
        <v>0</v>
      </c>
      <c r="CU42" s="239" t="str">
        <f>IF(D42="","",IF(E42=Data!$ZI$2,VLOOKUP(D42,Data!$ZK$2:$ZO$15,5,FALSE),IF(E42=Data!$ZI$1,VLOOKUP(D42,Data!$ZQ$2:$ZU$13,5,FALSE),IF(E42=Data!$ZI$3,VLOOKUP(D42,Data!$ZW$2:$AAD$13,5,FALSE),IF(E42=Data!$ZI$4,VLOOKUP(D42,Data!$AAC$2:$AAK$13,5,FALSE),IF(E42=Data!$ZI$5,VLOOKUP(D42,Data!$AAC$26:$AAK$37,5,FALSE)))))))</f>
        <v/>
      </c>
      <c r="CV42" s="251">
        <f t="shared" si="27"/>
        <v>0</v>
      </c>
      <c r="CW42" s="251" t="e">
        <f t="shared" si="28"/>
        <v>#VALUE!</v>
      </c>
      <c r="CX42" s="239" t="e">
        <f t="shared" si="29"/>
        <v>#VALUE!</v>
      </c>
      <c r="CY42" s="239" t="str">
        <f>IF(D42="","",IF(E42=Data!$ZI$2,VLOOKUP(D42,Data!$ZK$2:$ZP$15,6,FALSE),IF(E42=Data!$ZI$1,VLOOKUP(D42,Data!$ZQ$2:$ZV$13,6,FALSE),IF(E42=Data!$ZI$3,VLOOKUP(D42,Data!$ZW$2:$AAE$13,6,FALSE),IF(E42=Data!$ZI$4,VLOOKUP(D42,Data!$AAC$2:$AAL$13,6,FALSE),IF(E42=Data!$ZI$5,VLOOKUP(D42,Data!$AAC$26:$AAL$37,6,FALSE)))))))</f>
        <v/>
      </c>
      <c r="CZ42" s="251">
        <f t="shared" si="30"/>
        <v>0</v>
      </c>
      <c r="DA42" s="251" t="e">
        <f t="shared" si="31"/>
        <v>#VALUE!</v>
      </c>
      <c r="DB42" s="239" t="e">
        <f t="shared" si="32"/>
        <v>#VALUE!</v>
      </c>
      <c r="DC42" s="311">
        <f t="shared" si="33"/>
        <v>0</v>
      </c>
    </row>
    <row r="43" spans="1:107" ht="30" customHeight="1">
      <c r="A43" s="52">
        <v>36</v>
      </c>
      <c r="B43" s="13"/>
      <c r="C43" s="13"/>
      <c r="D43" s="13"/>
      <c r="E43" s="235"/>
      <c r="F43" s="235"/>
      <c r="G43" s="235"/>
      <c r="H43" s="235"/>
      <c r="I43" s="14"/>
      <c r="J43" s="14"/>
      <c r="K43" s="14"/>
      <c r="L43" s="14"/>
      <c r="M43" s="525"/>
      <c r="N43" s="526"/>
      <c r="O43" s="15"/>
      <c r="P43" s="15"/>
      <c r="Q43" s="15"/>
      <c r="R43" s="15"/>
      <c r="S43" s="15"/>
      <c r="T43" s="13" t="str">
        <f t="shared" si="9"/>
        <v/>
      </c>
      <c r="U43" s="253" t="str">
        <f t="shared" si="10"/>
        <v/>
      </c>
      <c r="V43" s="471"/>
      <c r="W43" s="482" t="b">
        <f t="shared" si="11"/>
        <v>0</v>
      </c>
      <c r="X43" s="230"/>
      <c r="Y43" s="253"/>
      <c r="AA43" s="33" t="str">
        <f>IF(SUM(--ISNUMBER(SEARCH({"Skylight"}, D43))),Data!$AJ$19,Data!$AJ$1)</f>
        <v>WindowType</v>
      </c>
      <c r="AB43" s="33" t="str">
        <f t="shared" si="34"/>
        <v>OK</v>
      </c>
      <c r="AE43" s="239" t="e">
        <f>MATCH(E43, Data!$TB$2:$TB$6,0)</f>
        <v>#N/A</v>
      </c>
      <c r="AF43" s="239" t="e">
        <f>MATCH(F43,Data!$TC$1:$UB$1,0)</f>
        <v>#N/A</v>
      </c>
      <c r="AG43" s="239" t="e">
        <f>INDEX(Data!$TC$2:$UB$6,'Cellular Blinds'!AE43,'Cellular Blinds'!AF43)</f>
        <v>#N/A</v>
      </c>
      <c r="AH43" s="33" t="e">
        <f>VLOOKUP(D43,Data!$RU$2:$RV$15,2,FALSE)</f>
        <v>#N/A</v>
      </c>
      <c r="AI43" s="33" t="b">
        <f>IF(D43=Data!$UT$2,Data!$UU$1,IF(D43=Data!$UT$3,Data!$UV$1,IF(D43=Data!$UT$4,Data!$UW$1,IF(D43=Data!$UT$5,Data!$UX$1,IF(D43=Data!$UT$6,Data!$UY$1,IF(D43=Data!$UT$7,Data!$UZ$1,IF(D43=Data!$UT$8,Data!$VA$1,IF(D43=Data!$UT$9,Data!$VB$1,IF(D43=Data!$UT$10,Data!$VC$1,IF(D43=Data!$UT$11,Data!$VD$1,IF(D43=Data!$UT$12,Data!$VD$22,IF(D43=Data!$UT$13,Data!$VD$22,IF(D43=Data!$UT$14,Data!$UU$13,IF(D43=Data!$UT$15,Data!$UV$13))))))))))))))</f>
        <v>0</v>
      </c>
      <c r="AJ43" s="239" t="e">
        <f>MATCH(D43,Data!$VL$27:$VL$40,0)</f>
        <v>#N/A</v>
      </c>
      <c r="AK43" s="239" t="e">
        <f>MATCH(E43,Data!$VM$26:$VQ$26,0)</f>
        <v>#N/A</v>
      </c>
      <c r="AL43" s="239" t="e">
        <f>INDEX(Data!$VM$27:$VQ$40,'Cellular Blinds'!AJ43,'Cellular Blinds'!AK43)</f>
        <v>#N/A</v>
      </c>
      <c r="AM43" s="239" t="e">
        <f>MATCH(D43, Data!$VL$2:$VL$16,0)</f>
        <v>#N/A</v>
      </c>
      <c r="AN43" s="239" t="e">
        <f>MATCH(E43,Data!$VM$1:$VQ$1,0)</f>
        <v>#N/A</v>
      </c>
      <c r="AO43" s="239" t="e">
        <f>INDEX(Data!$VM$2:$VQ$16,'Cellular Blinds'!AM43,'Cellular Blinds'!AN43)</f>
        <v>#N/A</v>
      </c>
      <c r="AP43" s="33" t="e">
        <f>VLOOKUP(P43,Data!$UW$14:$UX$28,2,FALSE)</f>
        <v>#N/A</v>
      </c>
      <c r="AQ43" s="239" t="e">
        <f>MATCH(E43, Data!$XS$2:$XS$6,0)</f>
        <v>#N/A</v>
      </c>
      <c r="AR43" s="239" t="e">
        <f>MATCH(F43,Data!$XT$1:$YR$1,0)</f>
        <v>#N/A</v>
      </c>
      <c r="AS43" s="239" t="e">
        <f>INDEX(Data!$XT$2:$YR$6,'Cellular Blinds'!AQ43,'Cellular Blinds'!AR43)</f>
        <v>#N/A</v>
      </c>
      <c r="AT43" s="239" t="b">
        <f>IF(D43=Data!$YU$2,Data!$YV$1,IF(D43=Data!$YU$3,Data!$YW$1,IF(D43=Data!$YU$4,Data!$YX$1,IF(D43=Data!$YU$5,Data!$YY$1,IF(D43=Data!$YU$6,Data!$YZ$1,IF(D43=Data!$YU$7,Data!$ZA$1,IF(D43=Data!$YU$8,Data!$ZB$1,IF(D43=Data!$YU$9,Data!$ZC$1,IF(D43=Data!$YU$10,Data!$ZD$1,IF(D43=Data!$YU$11,Data!$ZE$1,IF(D43=Data!$YU$12,Data!$ZE$1,IF(D43=Data!$YU$13,Data!$ZE$1,IF(D43=Data!$YU$14,Data!$ZG$11,IF(D43=Data!$YU$15,Data!$ZF$11))))))))))))))</f>
        <v>0</v>
      </c>
      <c r="AU43" s="239" t="str">
        <f>IF(D43="","",IF(E43=Data!$ZI$2,VLOOKUP(D43,Data!$ZK$2:$ZL$15,2,FALSE),IF(E43=Data!$ZI$1,VLOOKUP(D43,Data!$ZQ$2:$ZR$13,2,FALSE),IF(E43=Data!$ZI$3,VLOOKUP(D43,Data!$ZW$2:$ZX$13,2,FALSE),IF(E43=Data!$ZI$4,VLOOKUP(D43,Data!$AAC$2:$AAD$13,2,FALSE),IF(E43=Data!$ZI$5,VLOOKUP(D43,Data!$AAC$26:$AAD$37,2,FALSE)))))))</f>
        <v/>
      </c>
      <c r="AV43" s="251" t="str">
        <f t="shared" si="12"/>
        <v/>
      </c>
      <c r="AW43" s="251" t="str">
        <f t="shared" si="13"/>
        <v/>
      </c>
      <c r="AX43" s="239" t="str">
        <f t="shared" si="14"/>
        <v/>
      </c>
      <c r="BA43" s="33" t="str">
        <f t="shared" si="15"/>
        <v>FittingBoth</v>
      </c>
      <c r="BN43" s="476" t="str">
        <f t="shared" si="35"/>
        <v>UChannelNA</v>
      </c>
      <c r="BO43" s="476" t="e">
        <f t="shared" si="16"/>
        <v>#N/A</v>
      </c>
      <c r="BP43" s="476" t="str">
        <f t="shared" si="17"/>
        <v>No</v>
      </c>
      <c r="BQ43" s="476" t="str">
        <f t="shared" si="18"/>
        <v>No</v>
      </c>
      <c r="BR43" s="476" t="e">
        <f t="shared" si="36"/>
        <v>#N/A</v>
      </c>
      <c r="BU43" s="172">
        <f t="shared" si="19"/>
        <v>2</v>
      </c>
      <c r="CB43" s="33" t="e">
        <f t="shared" si="37"/>
        <v>#N/A</v>
      </c>
      <c r="CC43" s="172" t="b">
        <f t="shared" si="38"/>
        <v>0</v>
      </c>
      <c r="CD43" s="172">
        <f t="shared" si="39"/>
        <v>0</v>
      </c>
      <c r="CE43" s="172">
        <f t="shared" si="40"/>
        <v>0</v>
      </c>
      <c r="CF43" s="172">
        <f t="shared" si="41"/>
        <v>0</v>
      </c>
      <c r="CG43" s="172">
        <f t="shared" si="42"/>
        <v>0</v>
      </c>
      <c r="CL43" s="239" t="str">
        <f>IF(D43="","",IF(E43=Data!$ZI$2,VLOOKUP(D43,Data!$ZK$2:$ZP$15,3,FALSE),IF(E43=Data!$ZI$1,VLOOKUP(D43,Data!$ZQ$2:$ZS$13,3,FALSE),IF(E43=Data!$ZI$3,VLOOKUP(D43,Data!$ZW$2:$AAB$13,3,FALSE),IF(E43=Data!$ZI$4,VLOOKUP(D43,Data!$AAC$2:$AAI$13,3,FALSE),IF(E43=Data!$ZI$5,VLOOKUP(D43,Data!$AAC$26:$AAI$37,3,FALSE)))))))</f>
        <v/>
      </c>
      <c r="CM43" s="251">
        <f t="shared" si="20"/>
        <v>0</v>
      </c>
      <c r="CN43" s="251" t="e">
        <f t="shared" si="21"/>
        <v>#VALUE!</v>
      </c>
      <c r="CO43" s="239" t="e">
        <f t="shared" si="22"/>
        <v>#VALUE!</v>
      </c>
      <c r="CP43" s="239" t="str">
        <f>IF(D43="","",IF(E43=Data!$ZI$2,VLOOKUP(D43,Data!$ZK$2:$ZN$15,4,FALSE),IF(E43=Data!$ZI$1,VLOOKUP(D43,Data!$ZQ$2:$ZT$13,4,FALSE),IF(E43=Data!$ZI$3,VLOOKUP(D43,Data!$ZW$2:$AAC$13,4,FALSE),IF(E43=Data!$ZI$4,VLOOKUP(D43,Data!$AAC$2:$AAJ$13,4,FALSE),IF(E43=Data!$ZI$5,VLOOKUP(D43,Data!$AAC$26:$AAJ$37,4,FALSE)))))))</f>
        <v/>
      </c>
      <c r="CQ43" s="251">
        <f t="shared" si="23"/>
        <v>0</v>
      </c>
      <c r="CR43" s="251" t="e">
        <f t="shared" si="24"/>
        <v>#VALUE!</v>
      </c>
      <c r="CS43" s="239" t="e">
        <f t="shared" si="25"/>
        <v>#VALUE!</v>
      </c>
      <c r="CT43" s="311">
        <f t="shared" si="26"/>
        <v>0</v>
      </c>
      <c r="CU43" s="239" t="str">
        <f>IF(D43="","",IF(E43=Data!$ZI$2,VLOOKUP(D43,Data!$ZK$2:$ZO$15,5,FALSE),IF(E43=Data!$ZI$1,VLOOKUP(D43,Data!$ZQ$2:$ZU$13,5,FALSE),IF(E43=Data!$ZI$3,VLOOKUP(D43,Data!$ZW$2:$AAD$13,5,FALSE),IF(E43=Data!$ZI$4,VLOOKUP(D43,Data!$AAC$2:$AAK$13,5,FALSE),IF(E43=Data!$ZI$5,VLOOKUP(D43,Data!$AAC$26:$AAK$37,5,FALSE)))))))</f>
        <v/>
      </c>
      <c r="CV43" s="251">
        <f t="shared" si="27"/>
        <v>0</v>
      </c>
      <c r="CW43" s="251" t="e">
        <f t="shared" si="28"/>
        <v>#VALUE!</v>
      </c>
      <c r="CX43" s="239" t="e">
        <f t="shared" si="29"/>
        <v>#VALUE!</v>
      </c>
      <c r="CY43" s="239" t="str">
        <f>IF(D43="","",IF(E43=Data!$ZI$2,VLOOKUP(D43,Data!$ZK$2:$ZP$15,6,FALSE),IF(E43=Data!$ZI$1,VLOOKUP(D43,Data!$ZQ$2:$ZV$13,6,FALSE),IF(E43=Data!$ZI$3,VLOOKUP(D43,Data!$ZW$2:$AAE$13,6,FALSE),IF(E43=Data!$ZI$4,VLOOKUP(D43,Data!$AAC$2:$AAL$13,6,FALSE),IF(E43=Data!$ZI$5,VLOOKUP(D43,Data!$AAC$26:$AAL$37,6,FALSE)))))))</f>
        <v/>
      </c>
      <c r="CZ43" s="251">
        <f t="shared" si="30"/>
        <v>0</v>
      </c>
      <c r="DA43" s="251" t="e">
        <f t="shared" si="31"/>
        <v>#VALUE!</v>
      </c>
      <c r="DB43" s="239" t="e">
        <f t="shared" si="32"/>
        <v>#VALUE!</v>
      </c>
      <c r="DC43" s="311">
        <f t="shared" si="33"/>
        <v>0</v>
      </c>
    </row>
    <row r="44" spans="1:107" ht="30" customHeight="1">
      <c r="A44" s="52">
        <v>37</v>
      </c>
      <c r="B44" s="19"/>
      <c r="C44" s="13"/>
      <c r="D44" s="13"/>
      <c r="E44" s="235"/>
      <c r="F44" s="235"/>
      <c r="G44" s="235"/>
      <c r="H44" s="235"/>
      <c r="I44" s="14"/>
      <c r="J44" s="14"/>
      <c r="K44" s="14"/>
      <c r="L44" s="14"/>
      <c r="M44" s="525"/>
      <c r="N44" s="526"/>
      <c r="O44" s="15"/>
      <c r="P44" s="15"/>
      <c r="Q44" s="15"/>
      <c r="R44" s="15"/>
      <c r="S44" s="15"/>
      <c r="T44" s="13" t="str">
        <f t="shared" si="9"/>
        <v/>
      </c>
      <c r="U44" s="253" t="str">
        <f t="shared" si="10"/>
        <v/>
      </c>
      <c r="V44" s="471"/>
      <c r="W44" s="482" t="b">
        <f t="shared" si="11"/>
        <v>0</v>
      </c>
      <c r="X44" s="230"/>
      <c r="Y44" s="253"/>
      <c r="AA44" s="33" t="str">
        <f>IF(SUM(--ISNUMBER(SEARCH({"Skylight"}, D44))),Data!$AJ$19,Data!$AJ$1)</f>
        <v>WindowType</v>
      </c>
      <c r="AB44" s="33" t="str">
        <f t="shared" si="34"/>
        <v>OK</v>
      </c>
      <c r="AE44" s="239" t="e">
        <f>MATCH(E44, Data!$TB$2:$TB$6,0)</f>
        <v>#N/A</v>
      </c>
      <c r="AF44" s="239" t="e">
        <f>MATCH(F44,Data!$TC$1:$UB$1,0)</f>
        <v>#N/A</v>
      </c>
      <c r="AG44" s="239" t="e">
        <f>INDEX(Data!$TC$2:$UB$6,'Cellular Blinds'!AE44,'Cellular Blinds'!AF44)</f>
        <v>#N/A</v>
      </c>
      <c r="AH44" s="33" t="e">
        <f>VLOOKUP(D44,Data!$RU$2:$RV$15,2,FALSE)</f>
        <v>#N/A</v>
      </c>
      <c r="AI44" s="33" t="b">
        <f>IF(D44=Data!$UT$2,Data!$UU$1,IF(D44=Data!$UT$3,Data!$UV$1,IF(D44=Data!$UT$4,Data!$UW$1,IF(D44=Data!$UT$5,Data!$UX$1,IF(D44=Data!$UT$6,Data!$UY$1,IF(D44=Data!$UT$7,Data!$UZ$1,IF(D44=Data!$UT$8,Data!$VA$1,IF(D44=Data!$UT$9,Data!$VB$1,IF(D44=Data!$UT$10,Data!$VC$1,IF(D44=Data!$UT$11,Data!$VD$1,IF(D44=Data!$UT$12,Data!$VD$22,IF(D44=Data!$UT$13,Data!$VD$22,IF(D44=Data!$UT$14,Data!$UU$13,IF(D44=Data!$UT$15,Data!$UV$13))))))))))))))</f>
        <v>0</v>
      </c>
      <c r="AJ44" s="239" t="e">
        <f>MATCH(D44,Data!$VL$27:$VL$40,0)</f>
        <v>#N/A</v>
      </c>
      <c r="AK44" s="239" t="e">
        <f>MATCH(E44,Data!$VM$26:$VQ$26,0)</f>
        <v>#N/A</v>
      </c>
      <c r="AL44" s="239" t="e">
        <f>INDEX(Data!$VM$27:$VQ$40,'Cellular Blinds'!AJ44,'Cellular Blinds'!AK44)</f>
        <v>#N/A</v>
      </c>
      <c r="AM44" s="239" t="e">
        <f>MATCH(D44, Data!$VL$2:$VL$16,0)</f>
        <v>#N/A</v>
      </c>
      <c r="AN44" s="239" t="e">
        <f>MATCH(E44,Data!$VM$1:$VQ$1,0)</f>
        <v>#N/A</v>
      </c>
      <c r="AO44" s="239" t="e">
        <f>INDEX(Data!$VM$2:$VQ$16,'Cellular Blinds'!AM44,'Cellular Blinds'!AN44)</f>
        <v>#N/A</v>
      </c>
      <c r="AP44" s="33" t="e">
        <f>VLOOKUP(P44,Data!$UW$14:$UX$28,2,FALSE)</f>
        <v>#N/A</v>
      </c>
      <c r="AQ44" s="239" t="e">
        <f>MATCH(E44, Data!$XS$2:$XS$6,0)</f>
        <v>#N/A</v>
      </c>
      <c r="AR44" s="239" t="e">
        <f>MATCH(F44,Data!$XT$1:$YR$1,0)</f>
        <v>#N/A</v>
      </c>
      <c r="AS44" s="239" t="e">
        <f>INDEX(Data!$XT$2:$YR$6,'Cellular Blinds'!AQ44,'Cellular Blinds'!AR44)</f>
        <v>#N/A</v>
      </c>
      <c r="AT44" s="239" t="b">
        <f>IF(D44=Data!$YU$2,Data!$YV$1,IF(D44=Data!$YU$3,Data!$YW$1,IF(D44=Data!$YU$4,Data!$YX$1,IF(D44=Data!$YU$5,Data!$YY$1,IF(D44=Data!$YU$6,Data!$YZ$1,IF(D44=Data!$YU$7,Data!$ZA$1,IF(D44=Data!$YU$8,Data!$ZB$1,IF(D44=Data!$YU$9,Data!$ZC$1,IF(D44=Data!$YU$10,Data!$ZD$1,IF(D44=Data!$YU$11,Data!$ZE$1,IF(D44=Data!$YU$12,Data!$ZE$1,IF(D44=Data!$YU$13,Data!$ZE$1,IF(D44=Data!$YU$14,Data!$ZG$11,IF(D44=Data!$YU$15,Data!$ZF$11))))))))))))))</f>
        <v>0</v>
      </c>
      <c r="AU44" s="239" t="str">
        <f>IF(D44="","",IF(E44=Data!$ZI$2,VLOOKUP(D44,Data!$ZK$2:$ZL$15,2,FALSE),IF(E44=Data!$ZI$1,VLOOKUP(D44,Data!$ZQ$2:$ZR$13,2,FALSE),IF(E44=Data!$ZI$3,VLOOKUP(D44,Data!$ZW$2:$ZX$13,2,FALSE),IF(E44=Data!$ZI$4,VLOOKUP(D44,Data!$AAC$2:$AAD$13,2,FALSE),IF(E44=Data!$ZI$5,VLOOKUP(D44,Data!$AAC$26:$AAD$37,2,FALSE)))))))</f>
        <v/>
      </c>
      <c r="AV44" s="251" t="str">
        <f t="shared" si="12"/>
        <v/>
      </c>
      <c r="AW44" s="251" t="str">
        <f t="shared" si="13"/>
        <v/>
      </c>
      <c r="AX44" s="239" t="str">
        <f t="shared" si="14"/>
        <v/>
      </c>
      <c r="BA44" s="33" t="str">
        <f t="shared" si="15"/>
        <v>FittingBoth</v>
      </c>
      <c r="BN44" s="476" t="str">
        <f t="shared" si="35"/>
        <v>UChannelNA</v>
      </c>
      <c r="BO44" s="476" t="e">
        <f t="shared" si="16"/>
        <v>#N/A</v>
      </c>
      <c r="BP44" s="476" t="str">
        <f t="shared" si="17"/>
        <v>No</v>
      </c>
      <c r="BQ44" s="476" t="str">
        <f t="shared" si="18"/>
        <v>No</v>
      </c>
      <c r="BR44" s="476" t="e">
        <f t="shared" si="36"/>
        <v>#N/A</v>
      </c>
      <c r="BU44" s="172">
        <f t="shared" si="19"/>
        <v>2</v>
      </c>
      <c r="CB44" s="33" t="e">
        <f t="shared" si="37"/>
        <v>#N/A</v>
      </c>
      <c r="CC44" s="172" t="b">
        <f t="shared" si="38"/>
        <v>0</v>
      </c>
      <c r="CD44" s="172">
        <f t="shared" si="39"/>
        <v>0</v>
      </c>
      <c r="CE44" s="172">
        <f t="shared" si="40"/>
        <v>0</v>
      </c>
      <c r="CF44" s="172">
        <f t="shared" si="41"/>
        <v>0</v>
      </c>
      <c r="CG44" s="172">
        <f t="shared" si="42"/>
        <v>0</v>
      </c>
      <c r="CL44" s="239" t="str">
        <f>IF(D44="","",IF(E44=Data!$ZI$2,VLOOKUP(D44,Data!$ZK$2:$ZP$15,3,FALSE),IF(E44=Data!$ZI$1,VLOOKUP(D44,Data!$ZQ$2:$ZS$13,3,FALSE),IF(E44=Data!$ZI$3,VLOOKUP(D44,Data!$ZW$2:$AAB$13,3,FALSE),IF(E44=Data!$ZI$4,VLOOKUP(D44,Data!$AAC$2:$AAI$13,3,FALSE),IF(E44=Data!$ZI$5,VLOOKUP(D44,Data!$AAC$26:$AAI$37,3,FALSE)))))))</f>
        <v/>
      </c>
      <c r="CM44" s="251">
        <f t="shared" si="20"/>
        <v>0</v>
      </c>
      <c r="CN44" s="251" t="e">
        <f t="shared" si="21"/>
        <v>#VALUE!</v>
      </c>
      <c r="CO44" s="239" t="e">
        <f t="shared" si="22"/>
        <v>#VALUE!</v>
      </c>
      <c r="CP44" s="239" t="str">
        <f>IF(D44="","",IF(E44=Data!$ZI$2,VLOOKUP(D44,Data!$ZK$2:$ZN$15,4,FALSE),IF(E44=Data!$ZI$1,VLOOKUP(D44,Data!$ZQ$2:$ZT$13,4,FALSE),IF(E44=Data!$ZI$3,VLOOKUP(D44,Data!$ZW$2:$AAC$13,4,FALSE),IF(E44=Data!$ZI$4,VLOOKUP(D44,Data!$AAC$2:$AAJ$13,4,FALSE),IF(E44=Data!$ZI$5,VLOOKUP(D44,Data!$AAC$26:$AAJ$37,4,FALSE)))))))</f>
        <v/>
      </c>
      <c r="CQ44" s="251">
        <f t="shared" si="23"/>
        <v>0</v>
      </c>
      <c r="CR44" s="251" t="e">
        <f t="shared" si="24"/>
        <v>#VALUE!</v>
      </c>
      <c r="CS44" s="239" t="e">
        <f t="shared" si="25"/>
        <v>#VALUE!</v>
      </c>
      <c r="CT44" s="311">
        <f t="shared" si="26"/>
        <v>0</v>
      </c>
      <c r="CU44" s="239" t="str">
        <f>IF(D44="","",IF(E44=Data!$ZI$2,VLOOKUP(D44,Data!$ZK$2:$ZO$15,5,FALSE),IF(E44=Data!$ZI$1,VLOOKUP(D44,Data!$ZQ$2:$ZU$13,5,FALSE),IF(E44=Data!$ZI$3,VLOOKUP(D44,Data!$ZW$2:$AAD$13,5,FALSE),IF(E44=Data!$ZI$4,VLOOKUP(D44,Data!$AAC$2:$AAK$13,5,FALSE),IF(E44=Data!$ZI$5,VLOOKUP(D44,Data!$AAC$26:$AAK$37,5,FALSE)))))))</f>
        <v/>
      </c>
      <c r="CV44" s="251">
        <f t="shared" si="27"/>
        <v>0</v>
      </c>
      <c r="CW44" s="251" t="e">
        <f t="shared" si="28"/>
        <v>#VALUE!</v>
      </c>
      <c r="CX44" s="239" t="e">
        <f t="shared" si="29"/>
        <v>#VALUE!</v>
      </c>
      <c r="CY44" s="239" t="str">
        <f>IF(D44="","",IF(E44=Data!$ZI$2,VLOOKUP(D44,Data!$ZK$2:$ZP$15,6,FALSE),IF(E44=Data!$ZI$1,VLOOKUP(D44,Data!$ZQ$2:$ZV$13,6,FALSE),IF(E44=Data!$ZI$3,VLOOKUP(D44,Data!$ZW$2:$AAE$13,6,FALSE),IF(E44=Data!$ZI$4,VLOOKUP(D44,Data!$AAC$2:$AAL$13,6,FALSE),IF(E44=Data!$ZI$5,VLOOKUP(D44,Data!$AAC$26:$AAL$37,6,FALSE)))))))</f>
        <v/>
      </c>
      <c r="CZ44" s="251">
        <f t="shared" si="30"/>
        <v>0</v>
      </c>
      <c r="DA44" s="251" t="e">
        <f t="shared" si="31"/>
        <v>#VALUE!</v>
      </c>
      <c r="DB44" s="239" t="e">
        <f t="shared" si="32"/>
        <v>#VALUE!</v>
      </c>
      <c r="DC44" s="311">
        <f t="shared" si="33"/>
        <v>0</v>
      </c>
    </row>
    <row r="45" spans="1:107" ht="30" customHeight="1">
      <c r="A45" s="52">
        <v>38</v>
      </c>
      <c r="B45" s="13"/>
      <c r="C45" s="13"/>
      <c r="D45" s="13"/>
      <c r="E45" s="235"/>
      <c r="F45" s="235"/>
      <c r="G45" s="235"/>
      <c r="H45" s="235"/>
      <c r="I45" s="14"/>
      <c r="J45" s="14"/>
      <c r="K45" s="14"/>
      <c r="L45" s="14"/>
      <c r="M45" s="525"/>
      <c r="N45" s="526"/>
      <c r="O45" s="15"/>
      <c r="P45" s="15"/>
      <c r="Q45" s="15"/>
      <c r="R45" s="15"/>
      <c r="S45" s="15"/>
      <c r="T45" s="13" t="str">
        <f t="shared" si="9"/>
        <v/>
      </c>
      <c r="U45" s="253" t="str">
        <f t="shared" si="10"/>
        <v/>
      </c>
      <c r="V45" s="471"/>
      <c r="W45" s="482" t="b">
        <f t="shared" si="11"/>
        <v>0</v>
      </c>
      <c r="X45" s="230"/>
      <c r="Y45" s="253"/>
      <c r="AA45" s="33" t="str">
        <f>IF(SUM(--ISNUMBER(SEARCH({"Skylight"}, D45))),Data!$AJ$19,Data!$AJ$1)</f>
        <v>WindowType</v>
      </c>
      <c r="AB45" s="33" t="str">
        <f t="shared" si="34"/>
        <v>OK</v>
      </c>
      <c r="AE45" s="239" t="e">
        <f>MATCH(E45, Data!$TB$2:$TB$6,0)</f>
        <v>#N/A</v>
      </c>
      <c r="AF45" s="239" t="e">
        <f>MATCH(F45,Data!$TC$1:$UB$1,0)</f>
        <v>#N/A</v>
      </c>
      <c r="AG45" s="239" t="e">
        <f>INDEX(Data!$TC$2:$UB$6,'Cellular Blinds'!AE45,'Cellular Blinds'!AF45)</f>
        <v>#N/A</v>
      </c>
      <c r="AH45" s="33" t="e">
        <f>VLOOKUP(D45,Data!$RU$2:$RV$15,2,FALSE)</f>
        <v>#N/A</v>
      </c>
      <c r="AI45" s="33" t="b">
        <f>IF(D45=Data!$UT$2,Data!$UU$1,IF(D45=Data!$UT$3,Data!$UV$1,IF(D45=Data!$UT$4,Data!$UW$1,IF(D45=Data!$UT$5,Data!$UX$1,IF(D45=Data!$UT$6,Data!$UY$1,IF(D45=Data!$UT$7,Data!$UZ$1,IF(D45=Data!$UT$8,Data!$VA$1,IF(D45=Data!$UT$9,Data!$VB$1,IF(D45=Data!$UT$10,Data!$VC$1,IF(D45=Data!$UT$11,Data!$VD$1,IF(D45=Data!$UT$12,Data!$VD$22,IF(D45=Data!$UT$13,Data!$VD$22,IF(D45=Data!$UT$14,Data!$UU$13,IF(D45=Data!$UT$15,Data!$UV$13))))))))))))))</f>
        <v>0</v>
      </c>
      <c r="AJ45" s="239" t="e">
        <f>MATCH(D45,Data!$VL$27:$VL$40,0)</f>
        <v>#N/A</v>
      </c>
      <c r="AK45" s="239" t="e">
        <f>MATCH(E45,Data!$VM$26:$VQ$26,0)</f>
        <v>#N/A</v>
      </c>
      <c r="AL45" s="239" t="e">
        <f>INDEX(Data!$VM$27:$VQ$40,'Cellular Blinds'!AJ45,'Cellular Blinds'!AK45)</f>
        <v>#N/A</v>
      </c>
      <c r="AM45" s="239" t="e">
        <f>MATCH(D45, Data!$VL$2:$VL$16,0)</f>
        <v>#N/A</v>
      </c>
      <c r="AN45" s="239" t="e">
        <f>MATCH(E45,Data!$VM$1:$VQ$1,0)</f>
        <v>#N/A</v>
      </c>
      <c r="AO45" s="239" t="e">
        <f>INDEX(Data!$VM$2:$VQ$16,'Cellular Blinds'!AM45,'Cellular Blinds'!AN45)</f>
        <v>#N/A</v>
      </c>
      <c r="AP45" s="33" t="e">
        <f>VLOOKUP(P45,Data!$UW$14:$UX$28,2,FALSE)</f>
        <v>#N/A</v>
      </c>
      <c r="AQ45" s="239" t="e">
        <f>MATCH(E45, Data!$XS$2:$XS$6,0)</f>
        <v>#N/A</v>
      </c>
      <c r="AR45" s="239" t="e">
        <f>MATCH(F45,Data!$XT$1:$YR$1,0)</f>
        <v>#N/A</v>
      </c>
      <c r="AS45" s="239" t="e">
        <f>INDEX(Data!$XT$2:$YR$6,'Cellular Blinds'!AQ45,'Cellular Blinds'!AR45)</f>
        <v>#N/A</v>
      </c>
      <c r="AT45" s="239" t="b">
        <f>IF(D45=Data!$YU$2,Data!$YV$1,IF(D45=Data!$YU$3,Data!$YW$1,IF(D45=Data!$YU$4,Data!$YX$1,IF(D45=Data!$YU$5,Data!$YY$1,IF(D45=Data!$YU$6,Data!$YZ$1,IF(D45=Data!$YU$7,Data!$ZA$1,IF(D45=Data!$YU$8,Data!$ZB$1,IF(D45=Data!$YU$9,Data!$ZC$1,IF(D45=Data!$YU$10,Data!$ZD$1,IF(D45=Data!$YU$11,Data!$ZE$1,IF(D45=Data!$YU$12,Data!$ZE$1,IF(D45=Data!$YU$13,Data!$ZE$1,IF(D45=Data!$YU$14,Data!$ZG$11,IF(D45=Data!$YU$15,Data!$ZF$11))))))))))))))</f>
        <v>0</v>
      </c>
      <c r="AU45" s="239" t="str">
        <f>IF(D45="","",IF(E45=Data!$ZI$2,VLOOKUP(D45,Data!$ZK$2:$ZL$15,2,FALSE),IF(E45=Data!$ZI$1,VLOOKUP(D45,Data!$ZQ$2:$ZR$13,2,FALSE),IF(E45=Data!$ZI$3,VLOOKUP(D45,Data!$ZW$2:$ZX$13,2,FALSE),IF(E45=Data!$ZI$4,VLOOKUP(D45,Data!$AAC$2:$AAD$13,2,FALSE),IF(E45=Data!$ZI$5,VLOOKUP(D45,Data!$AAC$26:$AAD$37,2,FALSE)))))))</f>
        <v/>
      </c>
      <c r="AV45" s="251" t="str">
        <f t="shared" si="12"/>
        <v/>
      </c>
      <c r="AW45" s="251" t="str">
        <f t="shared" si="13"/>
        <v/>
      </c>
      <c r="AX45" s="239" t="str">
        <f t="shared" si="14"/>
        <v/>
      </c>
      <c r="BA45" s="33" t="str">
        <f t="shared" si="15"/>
        <v>FittingBoth</v>
      </c>
      <c r="BN45" s="476" t="str">
        <f t="shared" si="35"/>
        <v>UChannelNA</v>
      </c>
      <c r="BO45" s="476" t="e">
        <f t="shared" si="16"/>
        <v>#N/A</v>
      </c>
      <c r="BP45" s="476" t="str">
        <f t="shared" si="17"/>
        <v>No</v>
      </c>
      <c r="BQ45" s="476" t="str">
        <f t="shared" si="18"/>
        <v>No</v>
      </c>
      <c r="BR45" s="476" t="e">
        <f t="shared" si="36"/>
        <v>#N/A</v>
      </c>
      <c r="BU45" s="172">
        <f t="shared" si="19"/>
        <v>2</v>
      </c>
      <c r="CB45" s="33" t="e">
        <f t="shared" si="37"/>
        <v>#N/A</v>
      </c>
      <c r="CC45" s="172" t="b">
        <f t="shared" si="38"/>
        <v>0</v>
      </c>
      <c r="CD45" s="172">
        <f t="shared" si="39"/>
        <v>0</v>
      </c>
      <c r="CE45" s="172">
        <f t="shared" si="40"/>
        <v>0</v>
      </c>
      <c r="CF45" s="172">
        <f t="shared" si="41"/>
        <v>0</v>
      </c>
      <c r="CG45" s="172">
        <f t="shared" si="42"/>
        <v>0</v>
      </c>
      <c r="CL45" s="239" t="str">
        <f>IF(D45="","",IF(E45=Data!$ZI$2,VLOOKUP(D45,Data!$ZK$2:$ZP$15,3,FALSE),IF(E45=Data!$ZI$1,VLOOKUP(D45,Data!$ZQ$2:$ZS$13,3,FALSE),IF(E45=Data!$ZI$3,VLOOKUP(D45,Data!$ZW$2:$AAB$13,3,FALSE),IF(E45=Data!$ZI$4,VLOOKUP(D45,Data!$AAC$2:$AAI$13,3,FALSE),IF(E45=Data!$ZI$5,VLOOKUP(D45,Data!$AAC$26:$AAI$37,3,FALSE)))))))</f>
        <v/>
      </c>
      <c r="CM45" s="251">
        <f t="shared" si="20"/>
        <v>0</v>
      </c>
      <c r="CN45" s="251" t="e">
        <f t="shared" si="21"/>
        <v>#VALUE!</v>
      </c>
      <c r="CO45" s="239" t="e">
        <f t="shared" si="22"/>
        <v>#VALUE!</v>
      </c>
      <c r="CP45" s="239" t="str">
        <f>IF(D45="","",IF(E45=Data!$ZI$2,VLOOKUP(D45,Data!$ZK$2:$ZN$15,4,FALSE),IF(E45=Data!$ZI$1,VLOOKUP(D45,Data!$ZQ$2:$ZT$13,4,FALSE),IF(E45=Data!$ZI$3,VLOOKUP(D45,Data!$ZW$2:$AAC$13,4,FALSE),IF(E45=Data!$ZI$4,VLOOKUP(D45,Data!$AAC$2:$AAJ$13,4,FALSE),IF(E45=Data!$ZI$5,VLOOKUP(D45,Data!$AAC$26:$AAJ$37,4,FALSE)))))))</f>
        <v/>
      </c>
      <c r="CQ45" s="251">
        <f t="shared" si="23"/>
        <v>0</v>
      </c>
      <c r="CR45" s="251" t="e">
        <f t="shared" si="24"/>
        <v>#VALUE!</v>
      </c>
      <c r="CS45" s="239" t="e">
        <f t="shared" si="25"/>
        <v>#VALUE!</v>
      </c>
      <c r="CT45" s="311">
        <f t="shared" si="26"/>
        <v>0</v>
      </c>
      <c r="CU45" s="239" t="str">
        <f>IF(D45="","",IF(E45=Data!$ZI$2,VLOOKUP(D45,Data!$ZK$2:$ZO$15,5,FALSE),IF(E45=Data!$ZI$1,VLOOKUP(D45,Data!$ZQ$2:$ZU$13,5,FALSE),IF(E45=Data!$ZI$3,VLOOKUP(D45,Data!$ZW$2:$AAD$13,5,FALSE),IF(E45=Data!$ZI$4,VLOOKUP(D45,Data!$AAC$2:$AAK$13,5,FALSE),IF(E45=Data!$ZI$5,VLOOKUP(D45,Data!$AAC$26:$AAK$37,5,FALSE)))))))</f>
        <v/>
      </c>
      <c r="CV45" s="251">
        <f t="shared" si="27"/>
        <v>0</v>
      </c>
      <c r="CW45" s="251" t="e">
        <f t="shared" si="28"/>
        <v>#VALUE!</v>
      </c>
      <c r="CX45" s="239" t="e">
        <f t="shared" si="29"/>
        <v>#VALUE!</v>
      </c>
      <c r="CY45" s="239" t="str">
        <f>IF(D45="","",IF(E45=Data!$ZI$2,VLOOKUP(D45,Data!$ZK$2:$ZP$15,6,FALSE),IF(E45=Data!$ZI$1,VLOOKUP(D45,Data!$ZQ$2:$ZV$13,6,FALSE),IF(E45=Data!$ZI$3,VLOOKUP(D45,Data!$ZW$2:$AAE$13,6,FALSE),IF(E45=Data!$ZI$4,VLOOKUP(D45,Data!$AAC$2:$AAL$13,6,FALSE),IF(E45=Data!$ZI$5,VLOOKUP(D45,Data!$AAC$26:$AAL$37,6,FALSE)))))))</f>
        <v/>
      </c>
      <c r="CZ45" s="251">
        <f t="shared" si="30"/>
        <v>0</v>
      </c>
      <c r="DA45" s="251" t="e">
        <f t="shared" si="31"/>
        <v>#VALUE!</v>
      </c>
      <c r="DB45" s="239" t="e">
        <f t="shared" si="32"/>
        <v>#VALUE!</v>
      </c>
      <c r="DC45" s="311">
        <f t="shared" si="33"/>
        <v>0</v>
      </c>
    </row>
    <row r="46" spans="1:107" ht="30" customHeight="1">
      <c r="A46" s="52">
        <v>39</v>
      </c>
      <c r="B46" s="13"/>
      <c r="C46" s="13"/>
      <c r="D46" s="13"/>
      <c r="E46" s="235"/>
      <c r="F46" s="235"/>
      <c r="G46" s="235"/>
      <c r="H46" s="235"/>
      <c r="I46" s="14"/>
      <c r="J46" s="14"/>
      <c r="K46" s="14"/>
      <c r="L46" s="14"/>
      <c r="M46" s="525"/>
      <c r="N46" s="526"/>
      <c r="O46" s="15"/>
      <c r="P46" s="15"/>
      <c r="Q46" s="15"/>
      <c r="R46" s="15"/>
      <c r="S46" s="15"/>
      <c r="T46" s="13" t="str">
        <f t="shared" si="9"/>
        <v/>
      </c>
      <c r="U46" s="253" t="str">
        <f t="shared" si="10"/>
        <v/>
      </c>
      <c r="V46" s="471"/>
      <c r="W46" s="482" t="b">
        <f t="shared" si="11"/>
        <v>0</v>
      </c>
      <c r="X46" s="230"/>
      <c r="Y46" s="253"/>
      <c r="AA46" s="33" t="str">
        <f>IF(SUM(--ISNUMBER(SEARCH({"Skylight"}, D46))),Data!$AJ$19,Data!$AJ$1)</f>
        <v>WindowType</v>
      </c>
      <c r="AB46" s="33" t="str">
        <f t="shared" si="34"/>
        <v>OK</v>
      </c>
      <c r="AE46" s="239" t="e">
        <f>MATCH(E46, Data!$TB$2:$TB$6,0)</f>
        <v>#N/A</v>
      </c>
      <c r="AF46" s="239" t="e">
        <f>MATCH(F46,Data!$TC$1:$UB$1,0)</f>
        <v>#N/A</v>
      </c>
      <c r="AG46" s="239" t="e">
        <f>INDEX(Data!$TC$2:$UB$6,'Cellular Blinds'!AE46,'Cellular Blinds'!AF46)</f>
        <v>#N/A</v>
      </c>
      <c r="AH46" s="33" t="e">
        <f>VLOOKUP(D46,Data!$RU$2:$RV$15,2,FALSE)</f>
        <v>#N/A</v>
      </c>
      <c r="AI46" s="33" t="b">
        <f>IF(D46=Data!$UT$2,Data!$UU$1,IF(D46=Data!$UT$3,Data!$UV$1,IF(D46=Data!$UT$4,Data!$UW$1,IF(D46=Data!$UT$5,Data!$UX$1,IF(D46=Data!$UT$6,Data!$UY$1,IF(D46=Data!$UT$7,Data!$UZ$1,IF(D46=Data!$UT$8,Data!$VA$1,IF(D46=Data!$UT$9,Data!$VB$1,IF(D46=Data!$UT$10,Data!$VC$1,IF(D46=Data!$UT$11,Data!$VD$1,IF(D46=Data!$UT$12,Data!$VD$22,IF(D46=Data!$UT$13,Data!$VD$22,IF(D46=Data!$UT$14,Data!$UU$13,IF(D46=Data!$UT$15,Data!$UV$13))))))))))))))</f>
        <v>0</v>
      </c>
      <c r="AJ46" s="239" t="e">
        <f>MATCH(D46,Data!$VL$27:$VL$40,0)</f>
        <v>#N/A</v>
      </c>
      <c r="AK46" s="239" t="e">
        <f>MATCH(E46,Data!$VM$26:$VQ$26,0)</f>
        <v>#N/A</v>
      </c>
      <c r="AL46" s="239" t="e">
        <f>INDEX(Data!$VM$27:$VQ$40,'Cellular Blinds'!AJ46,'Cellular Blinds'!AK46)</f>
        <v>#N/A</v>
      </c>
      <c r="AM46" s="239" t="e">
        <f>MATCH(D46, Data!$VL$2:$VL$16,0)</f>
        <v>#N/A</v>
      </c>
      <c r="AN46" s="239" t="e">
        <f>MATCH(E46,Data!$VM$1:$VQ$1,0)</f>
        <v>#N/A</v>
      </c>
      <c r="AO46" s="239" t="e">
        <f>INDEX(Data!$VM$2:$VQ$16,'Cellular Blinds'!AM46,'Cellular Blinds'!AN46)</f>
        <v>#N/A</v>
      </c>
      <c r="AP46" s="33" t="e">
        <f>VLOOKUP(P46,Data!$UW$14:$UX$28,2,FALSE)</f>
        <v>#N/A</v>
      </c>
      <c r="AQ46" s="239" t="e">
        <f>MATCH(E46, Data!$XS$2:$XS$6,0)</f>
        <v>#N/A</v>
      </c>
      <c r="AR46" s="239" t="e">
        <f>MATCH(F46,Data!$XT$1:$YR$1,0)</f>
        <v>#N/A</v>
      </c>
      <c r="AS46" s="239" t="e">
        <f>INDEX(Data!$XT$2:$YR$6,'Cellular Blinds'!AQ46,'Cellular Blinds'!AR46)</f>
        <v>#N/A</v>
      </c>
      <c r="AT46" s="239" t="b">
        <f>IF(D46=Data!$YU$2,Data!$YV$1,IF(D46=Data!$YU$3,Data!$YW$1,IF(D46=Data!$YU$4,Data!$YX$1,IF(D46=Data!$YU$5,Data!$YY$1,IF(D46=Data!$YU$6,Data!$YZ$1,IF(D46=Data!$YU$7,Data!$ZA$1,IF(D46=Data!$YU$8,Data!$ZB$1,IF(D46=Data!$YU$9,Data!$ZC$1,IF(D46=Data!$YU$10,Data!$ZD$1,IF(D46=Data!$YU$11,Data!$ZE$1,IF(D46=Data!$YU$12,Data!$ZE$1,IF(D46=Data!$YU$13,Data!$ZE$1,IF(D46=Data!$YU$14,Data!$ZG$11,IF(D46=Data!$YU$15,Data!$ZF$11))))))))))))))</f>
        <v>0</v>
      </c>
      <c r="AU46" s="239" t="str">
        <f>IF(D46="","",IF(E46=Data!$ZI$2,VLOOKUP(D46,Data!$ZK$2:$ZL$15,2,FALSE),IF(E46=Data!$ZI$1,VLOOKUP(D46,Data!$ZQ$2:$ZR$13,2,FALSE),IF(E46=Data!$ZI$3,VLOOKUP(D46,Data!$ZW$2:$ZX$13,2,FALSE),IF(E46=Data!$ZI$4,VLOOKUP(D46,Data!$AAC$2:$AAD$13,2,FALSE),IF(E46=Data!$ZI$5,VLOOKUP(D46,Data!$AAC$26:$AAD$37,2,FALSE)))))))</f>
        <v/>
      </c>
      <c r="AV46" s="251" t="str">
        <f t="shared" si="12"/>
        <v/>
      </c>
      <c r="AW46" s="251" t="str">
        <f t="shared" si="13"/>
        <v/>
      </c>
      <c r="AX46" s="239" t="str">
        <f t="shared" si="14"/>
        <v/>
      </c>
      <c r="BA46" s="33" t="str">
        <f t="shared" si="15"/>
        <v>FittingBoth</v>
      </c>
      <c r="BN46" s="476" t="str">
        <f t="shared" si="35"/>
        <v>UChannelNA</v>
      </c>
      <c r="BO46" s="476" t="e">
        <f t="shared" si="16"/>
        <v>#N/A</v>
      </c>
      <c r="BP46" s="476" t="str">
        <f t="shared" si="17"/>
        <v>No</v>
      </c>
      <c r="BQ46" s="476" t="str">
        <f t="shared" si="18"/>
        <v>No</v>
      </c>
      <c r="BR46" s="476" t="e">
        <f t="shared" si="36"/>
        <v>#N/A</v>
      </c>
      <c r="BU46" s="172">
        <f t="shared" si="19"/>
        <v>2</v>
      </c>
      <c r="CB46" s="33" t="e">
        <f t="shared" si="37"/>
        <v>#N/A</v>
      </c>
      <c r="CC46" s="172" t="b">
        <f t="shared" si="38"/>
        <v>0</v>
      </c>
      <c r="CD46" s="172">
        <f t="shared" si="39"/>
        <v>0</v>
      </c>
      <c r="CE46" s="172">
        <f t="shared" si="40"/>
        <v>0</v>
      </c>
      <c r="CF46" s="172">
        <f t="shared" si="41"/>
        <v>0</v>
      </c>
      <c r="CG46" s="172">
        <f t="shared" si="42"/>
        <v>0</v>
      </c>
      <c r="CL46" s="239" t="str">
        <f>IF(D46="","",IF(E46=Data!$ZI$2,VLOOKUP(D46,Data!$ZK$2:$ZP$15,3,FALSE),IF(E46=Data!$ZI$1,VLOOKUP(D46,Data!$ZQ$2:$ZS$13,3,FALSE),IF(E46=Data!$ZI$3,VLOOKUP(D46,Data!$ZW$2:$AAB$13,3,FALSE),IF(E46=Data!$ZI$4,VLOOKUP(D46,Data!$AAC$2:$AAI$13,3,FALSE),IF(E46=Data!$ZI$5,VLOOKUP(D46,Data!$AAC$26:$AAI$37,3,FALSE)))))))</f>
        <v/>
      </c>
      <c r="CM46" s="251">
        <f t="shared" si="20"/>
        <v>0</v>
      </c>
      <c r="CN46" s="251" t="e">
        <f t="shared" si="21"/>
        <v>#VALUE!</v>
      </c>
      <c r="CO46" s="239" t="e">
        <f t="shared" si="22"/>
        <v>#VALUE!</v>
      </c>
      <c r="CP46" s="239" t="str">
        <f>IF(D46="","",IF(E46=Data!$ZI$2,VLOOKUP(D46,Data!$ZK$2:$ZN$15,4,FALSE),IF(E46=Data!$ZI$1,VLOOKUP(D46,Data!$ZQ$2:$ZT$13,4,FALSE),IF(E46=Data!$ZI$3,VLOOKUP(D46,Data!$ZW$2:$AAC$13,4,FALSE),IF(E46=Data!$ZI$4,VLOOKUP(D46,Data!$AAC$2:$AAJ$13,4,FALSE),IF(E46=Data!$ZI$5,VLOOKUP(D46,Data!$AAC$26:$AAJ$37,4,FALSE)))))))</f>
        <v/>
      </c>
      <c r="CQ46" s="251">
        <f t="shared" si="23"/>
        <v>0</v>
      </c>
      <c r="CR46" s="251" t="e">
        <f t="shared" si="24"/>
        <v>#VALUE!</v>
      </c>
      <c r="CS46" s="239" t="e">
        <f t="shared" si="25"/>
        <v>#VALUE!</v>
      </c>
      <c r="CT46" s="311">
        <f t="shared" si="26"/>
        <v>0</v>
      </c>
      <c r="CU46" s="239" t="str">
        <f>IF(D46="","",IF(E46=Data!$ZI$2,VLOOKUP(D46,Data!$ZK$2:$ZO$15,5,FALSE),IF(E46=Data!$ZI$1,VLOOKUP(D46,Data!$ZQ$2:$ZU$13,5,FALSE),IF(E46=Data!$ZI$3,VLOOKUP(D46,Data!$ZW$2:$AAD$13,5,FALSE),IF(E46=Data!$ZI$4,VLOOKUP(D46,Data!$AAC$2:$AAK$13,5,FALSE),IF(E46=Data!$ZI$5,VLOOKUP(D46,Data!$AAC$26:$AAK$37,5,FALSE)))))))</f>
        <v/>
      </c>
      <c r="CV46" s="251">
        <f t="shared" si="27"/>
        <v>0</v>
      </c>
      <c r="CW46" s="251" t="e">
        <f t="shared" si="28"/>
        <v>#VALUE!</v>
      </c>
      <c r="CX46" s="239" t="e">
        <f t="shared" si="29"/>
        <v>#VALUE!</v>
      </c>
      <c r="CY46" s="239" t="str">
        <f>IF(D46="","",IF(E46=Data!$ZI$2,VLOOKUP(D46,Data!$ZK$2:$ZP$15,6,FALSE),IF(E46=Data!$ZI$1,VLOOKUP(D46,Data!$ZQ$2:$ZV$13,6,FALSE),IF(E46=Data!$ZI$3,VLOOKUP(D46,Data!$ZW$2:$AAE$13,6,FALSE),IF(E46=Data!$ZI$4,VLOOKUP(D46,Data!$AAC$2:$AAL$13,6,FALSE),IF(E46=Data!$ZI$5,VLOOKUP(D46,Data!$AAC$26:$AAL$37,6,FALSE)))))))</f>
        <v/>
      </c>
      <c r="CZ46" s="251">
        <f t="shared" si="30"/>
        <v>0</v>
      </c>
      <c r="DA46" s="251" t="e">
        <f t="shared" si="31"/>
        <v>#VALUE!</v>
      </c>
      <c r="DB46" s="239" t="e">
        <f t="shared" si="32"/>
        <v>#VALUE!</v>
      </c>
      <c r="DC46" s="311">
        <f t="shared" si="33"/>
        <v>0</v>
      </c>
    </row>
    <row r="47" spans="1:107" ht="30" customHeight="1">
      <c r="A47" s="52">
        <v>40</v>
      </c>
      <c r="B47" s="19"/>
      <c r="C47" s="13"/>
      <c r="D47" s="13"/>
      <c r="E47" s="235"/>
      <c r="F47" s="235"/>
      <c r="G47" s="235"/>
      <c r="H47" s="235"/>
      <c r="I47" s="14"/>
      <c r="J47" s="14"/>
      <c r="K47" s="14"/>
      <c r="L47" s="14"/>
      <c r="M47" s="525"/>
      <c r="N47" s="526"/>
      <c r="O47" s="15"/>
      <c r="P47" s="15"/>
      <c r="Q47" s="15"/>
      <c r="R47" s="15"/>
      <c r="S47" s="15"/>
      <c r="T47" s="13" t="str">
        <f t="shared" si="9"/>
        <v/>
      </c>
      <c r="U47" s="253" t="str">
        <f t="shared" si="10"/>
        <v/>
      </c>
      <c r="V47" s="471"/>
      <c r="W47" s="482" t="b">
        <f t="shared" si="11"/>
        <v>0</v>
      </c>
      <c r="X47" s="230"/>
      <c r="Y47" s="253"/>
      <c r="AA47" s="33" t="str">
        <f>IF(SUM(--ISNUMBER(SEARCH({"Skylight"}, D47))),Data!$AJ$19,Data!$AJ$1)</f>
        <v>WindowType</v>
      </c>
      <c r="AB47" s="33" t="str">
        <f t="shared" si="34"/>
        <v>OK</v>
      </c>
      <c r="AE47" s="239" t="e">
        <f>MATCH(E47, Data!$TB$2:$TB$6,0)</f>
        <v>#N/A</v>
      </c>
      <c r="AF47" s="239" t="e">
        <f>MATCH(F47,Data!$TC$1:$UB$1,0)</f>
        <v>#N/A</v>
      </c>
      <c r="AG47" s="239" t="e">
        <f>INDEX(Data!$TC$2:$UB$6,'Cellular Blinds'!AE47,'Cellular Blinds'!AF47)</f>
        <v>#N/A</v>
      </c>
      <c r="AH47" s="33" t="e">
        <f>VLOOKUP(D47,Data!$RU$2:$RV$15,2,FALSE)</f>
        <v>#N/A</v>
      </c>
      <c r="AI47" s="33" t="b">
        <f>IF(D47=Data!$UT$2,Data!$UU$1,IF(D47=Data!$UT$3,Data!$UV$1,IF(D47=Data!$UT$4,Data!$UW$1,IF(D47=Data!$UT$5,Data!$UX$1,IF(D47=Data!$UT$6,Data!$UY$1,IF(D47=Data!$UT$7,Data!$UZ$1,IF(D47=Data!$UT$8,Data!$VA$1,IF(D47=Data!$UT$9,Data!$VB$1,IF(D47=Data!$UT$10,Data!$VC$1,IF(D47=Data!$UT$11,Data!$VD$1,IF(D47=Data!$UT$12,Data!$VD$22,IF(D47=Data!$UT$13,Data!$VD$22,IF(D47=Data!$UT$14,Data!$UU$13,IF(D47=Data!$UT$15,Data!$UV$13))))))))))))))</f>
        <v>0</v>
      </c>
      <c r="AJ47" s="239" t="e">
        <f>MATCH(D47,Data!$VL$27:$VL$40,0)</f>
        <v>#N/A</v>
      </c>
      <c r="AK47" s="239" t="e">
        <f>MATCH(E47,Data!$VM$26:$VQ$26,0)</f>
        <v>#N/A</v>
      </c>
      <c r="AL47" s="239" t="e">
        <f>INDEX(Data!$VM$27:$VQ$40,'Cellular Blinds'!AJ47,'Cellular Blinds'!AK47)</f>
        <v>#N/A</v>
      </c>
      <c r="AM47" s="239" t="e">
        <f>MATCH(D47, Data!$VL$2:$VL$16,0)</f>
        <v>#N/A</v>
      </c>
      <c r="AN47" s="239" t="e">
        <f>MATCH(E47,Data!$VM$1:$VQ$1,0)</f>
        <v>#N/A</v>
      </c>
      <c r="AO47" s="239" t="e">
        <f>INDEX(Data!$VM$2:$VQ$16,'Cellular Blinds'!AM47,'Cellular Blinds'!AN47)</f>
        <v>#N/A</v>
      </c>
      <c r="AP47" s="33" t="e">
        <f>VLOOKUP(P47,Data!$UW$14:$UX$28,2,FALSE)</f>
        <v>#N/A</v>
      </c>
      <c r="AQ47" s="239" t="e">
        <f>MATCH(E47, Data!$XS$2:$XS$6,0)</f>
        <v>#N/A</v>
      </c>
      <c r="AR47" s="239" t="e">
        <f>MATCH(F47,Data!$XT$1:$YR$1,0)</f>
        <v>#N/A</v>
      </c>
      <c r="AS47" s="239" t="e">
        <f>INDEX(Data!$XT$2:$YR$6,'Cellular Blinds'!AQ47,'Cellular Blinds'!AR47)</f>
        <v>#N/A</v>
      </c>
      <c r="AT47" s="239" t="b">
        <f>IF(D47=Data!$YU$2,Data!$YV$1,IF(D47=Data!$YU$3,Data!$YW$1,IF(D47=Data!$YU$4,Data!$YX$1,IF(D47=Data!$YU$5,Data!$YY$1,IF(D47=Data!$YU$6,Data!$YZ$1,IF(D47=Data!$YU$7,Data!$ZA$1,IF(D47=Data!$YU$8,Data!$ZB$1,IF(D47=Data!$YU$9,Data!$ZC$1,IF(D47=Data!$YU$10,Data!$ZD$1,IF(D47=Data!$YU$11,Data!$ZE$1,IF(D47=Data!$YU$12,Data!$ZE$1,IF(D47=Data!$YU$13,Data!$ZE$1,IF(D47=Data!$YU$14,Data!$ZG$11,IF(D47=Data!$YU$15,Data!$ZF$11))))))))))))))</f>
        <v>0</v>
      </c>
      <c r="AU47" s="239" t="str">
        <f>IF(D47="","",IF(E47=Data!$ZI$2,VLOOKUP(D47,Data!$ZK$2:$ZL$15,2,FALSE),IF(E47=Data!$ZI$1,VLOOKUP(D47,Data!$ZQ$2:$ZR$13,2,FALSE),IF(E47=Data!$ZI$3,VLOOKUP(D47,Data!$ZW$2:$ZX$13,2,FALSE),IF(E47=Data!$ZI$4,VLOOKUP(D47,Data!$AAC$2:$AAD$13,2,FALSE),IF(E47=Data!$ZI$5,VLOOKUP(D47,Data!$AAC$26:$AAD$37,2,FALSE)))))))</f>
        <v/>
      </c>
      <c r="AV47" s="251" t="str">
        <f t="shared" si="12"/>
        <v/>
      </c>
      <c r="AW47" s="251" t="str">
        <f t="shared" si="13"/>
        <v/>
      </c>
      <c r="AX47" s="239" t="str">
        <f t="shared" si="14"/>
        <v/>
      </c>
      <c r="BA47" s="33" t="str">
        <f t="shared" si="15"/>
        <v>FittingBoth</v>
      </c>
      <c r="BN47" s="476" t="str">
        <f t="shared" si="35"/>
        <v>UChannelNA</v>
      </c>
      <c r="BO47" s="476" t="e">
        <f t="shared" si="16"/>
        <v>#N/A</v>
      </c>
      <c r="BP47" s="476" t="str">
        <f t="shared" si="17"/>
        <v>No</v>
      </c>
      <c r="BQ47" s="476" t="str">
        <f t="shared" si="18"/>
        <v>No</v>
      </c>
      <c r="BR47" s="476" t="e">
        <f t="shared" si="36"/>
        <v>#N/A</v>
      </c>
      <c r="BU47" s="172">
        <f t="shared" si="19"/>
        <v>2</v>
      </c>
      <c r="CB47" s="33" t="e">
        <f t="shared" si="37"/>
        <v>#N/A</v>
      </c>
      <c r="CC47" s="172" t="b">
        <f t="shared" si="38"/>
        <v>0</v>
      </c>
      <c r="CD47" s="172">
        <f t="shared" si="39"/>
        <v>0</v>
      </c>
      <c r="CE47" s="172">
        <f t="shared" si="40"/>
        <v>0</v>
      </c>
      <c r="CF47" s="172">
        <f t="shared" si="41"/>
        <v>0</v>
      </c>
      <c r="CG47" s="172">
        <f t="shared" si="42"/>
        <v>0</v>
      </c>
      <c r="CL47" s="239" t="str">
        <f>IF(D47="","",IF(E47=Data!$ZI$2,VLOOKUP(D47,Data!$ZK$2:$ZP$15,3,FALSE),IF(E47=Data!$ZI$1,VLOOKUP(D47,Data!$ZQ$2:$ZS$13,3,FALSE),IF(E47=Data!$ZI$3,VLOOKUP(D47,Data!$ZW$2:$AAB$13,3,FALSE),IF(E47=Data!$ZI$4,VLOOKUP(D47,Data!$AAC$2:$AAI$13,3,FALSE),IF(E47=Data!$ZI$5,VLOOKUP(D47,Data!$AAC$26:$AAI$37,3,FALSE)))))))</f>
        <v/>
      </c>
      <c r="CM47" s="251">
        <f t="shared" si="20"/>
        <v>0</v>
      </c>
      <c r="CN47" s="251" t="e">
        <f t="shared" si="21"/>
        <v>#VALUE!</v>
      </c>
      <c r="CO47" s="239" t="e">
        <f t="shared" si="22"/>
        <v>#VALUE!</v>
      </c>
      <c r="CP47" s="239" t="str">
        <f>IF(D47="","",IF(E47=Data!$ZI$2,VLOOKUP(D47,Data!$ZK$2:$ZN$15,4,FALSE),IF(E47=Data!$ZI$1,VLOOKUP(D47,Data!$ZQ$2:$ZT$13,4,FALSE),IF(E47=Data!$ZI$3,VLOOKUP(D47,Data!$ZW$2:$AAC$13,4,FALSE),IF(E47=Data!$ZI$4,VLOOKUP(D47,Data!$AAC$2:$AAJ$13,4,FALSE),IF(E47=Data!$ZI$5,VLOOKUP(D47,Data!$AAC$26:$AAJ$37,4,FALSE)))))))</f>
        <v/>
      </c>
      <c r="CQ47" s="251">
        <f t="shared" si="23"/>
        <v>0</v>
      </c>
      <c r="CR47" s="251" t="e">
        <f t="shared" si="24"/>
        <v>#VALUE!</v>
      </c>
      <c r="CS47" s="239" t="e">
        <f t="shared" si="25"/>
        <v>#VALUE!</v>
      </c>
      <c r="CT47" s="311">
        <f t="shared" si="26"/>
        <v>0</v>
      </c>
      <c r="CU47" s="239" t="str">
        <f>IF(D47="","",IF(E47=Data!$ZI$2,VLOOKUP(D47,Data!$ZK$2:$ZO$15,5,FALSE),IF(E47=Data!$ZI$1,VLOOKUP(D47,Data!$ZQ$2:$ZU$13,5,FALSE),IF(E47=Data!$ZI$3,VLOOKUP(D47,Data!$ZW$2:$AAD$13,5,FALSE),IF(E47=Data!$ZI$4,VLOOKUP(D47,Data!$AAC$2:$AAK$13,5,FALSE),IF(E47=Data!$ZI$5,VLOOKUP(D47,Data!$AAC$26:$AAK$37,5,FALSE)))))))</f>
        <v/>
      </c>
      <c r="CV47" s="251">
        <f t="shared" si="27"/>
        <v>0</v>
      </c>
      <c r="CW47" s="251" t="e">
        <f t="shared" si="28"/>
        <v>#VALUE!</v>
      </c>
      <c r="CX47" s="239" t="e">
        <f t="shared" si="29"/>
        <v>#VALUE!</v>
      </c>
      <c r="CY47" s="239" t="str">
        <f>IF(D47="","",IF(E47=Data!$ZI$2,VLOOKUP(D47,Data!$ZK$2:$ZP$15,6,FALSE),IF(E47=Data!$ZI$1,VLOOKUP(D47,Data!$ZQ$2:$ZV$13,6,FALSE),IF(E47=Data!$ZI$3,VLOOKUP(D47,Data!$ZW$2:$AAE$13,6,FALSE),IF(E47=Data!$ZI$4,VLOOKUP(D47,Data!$AAC$2:$AAL$13,6,FALSE),IF(E47=Data!$ZI$5,VLOOKUP(D47,Data!$AAC$26:$AAL$37,6,FALSE)))))))</f>
        <v/>
      </c>
      <c r="CZ47" s="251">
        <f t="shared" si="30"/>
        <v>0</v>
      </c>
      <c r="DA47" s="251" t="e">
        <f t="shared" si="31"/>
        <v>#VALUE!</v>
      </c>
      <c r="DB47" s="239" t="e">
        <f t="shared" si="32"/>
        <v>#VALUE!</v>
      </c>
      <c r="DC47" s="311">
        <f t="shared" si="33"/>
        <v>0</v>
      </c>
    </row>
    <row r="48" spans="1:107" ht="30" customHeight="1">
      <c r="A48" s="52">
        <v>41</v>
      </c>
      <c r="B48" s="13"/>
      <c r="C48" s="13"/>
      <c r="D48" s="13"/>
      <c r="E48" s="235"/>
      <c r="F48" s="235"/>
      <c r="G48" s="235"/>
      <c r="H48" s="235"/>
      <c r="I48" s="14"/>
      <c r="J48" s="14"/>
      <c r="K48" s="14"/>
      <c r="L48" s="14"/>
      <c r="M48" s="525"/>
      <c r="N48" s="526"/>
      <c r="O48" s="15"/>
      <c r="P48" s="15"/>
      <c r="Q48" s="15"/>
      <c r="R48" s="15"/>
      <c r="S48" s="15"/>
      <c r="T48" s="13" t="str">
        <f t="shared" si="9"/>
        <v/>
      </c>
      <c r="U48" s="253" t="str">
        <f t="shared" si="10"/>
        <v/>
      </c>
      <c r="V48" s="471"/>
      <c r="W48" s="482" t="b">
        <f t="shared" si="11"/>
        <v>0</v>
      </c>
      <c r="X48" s="230"/>
      <c r="Y48" s="253"/>
      <c r="AA48" s="33" t="str">
        <f>IF(SUM(--ISNUMBER(SEARCH({"Skylight"}, D48))),Data!$AJ$19,Data!$AJ$1)</f>
        <v>WindowType</v>
      </c>
      <c r="AB48" s="33" t="str">
        <f t="shared" si="34"/>
        <v>OK</v>
      </c>
      <c r="AE48" s="239" t="e">
        <f>MATCH(E48, Data!$TB$2:$TB$6,0)</f>
        <v>#N/A</v>
      </c>
      <c r="AF48" s="239" t="e">
        <f>MATCH(F48,Data!$TC$1:$UB$1,0)</f>
        <v>#N/A</v>
      </c>
      <c r="AG48" s="239" t="e">
        <f>INDEX(Data!$TC$2:$UB$6,'Cellular Blinds'!AE48,'Cellular Blinds'!AF48)</f>
        <v>#N/A</v>
      </c>
      <c r="AH48" s="33" t="e">
        <f>VLOOKUP(D48,Data!$RU$2:$RV$15,2,FALSE)</f>
        <v>#N/A</v>
      </c>
      <c r="AI48" s="33" t="b">
        <f>IF(D48=Data!$UT$2,Data!$UU$1,IF(D48=Data!$UT$3,Data!$UV$1,IF(D48=Data!$UT$4,Data!$UW$1,IF(D48=Data!$UT$5,Data!$UX$1,IF(D48=Data!$UT$6,Data!$UY$1,IF(D48=Data!$UT$7,Data!$UZ$1,IF(D48=Data!$UT$8,Data!$VA$1,IF(D48=Data!$UT$9,Data!$VB$1,IF(D48=Data!$UT$10,Data!$VC$1,IF(D48=Data!$UT$11,Data!$VD$1,IF(D48=Data!$UT$12,Data!$VD$22,IF(D48=Data!$UT$13,Data!$VD$22,IF(D48=Data!$UT$14,Data!$UU$13,IF(D48=Data!$UT$15,Data!$UV$13))))))))))))))</f>
        <v>0</v>
      </c>
      <c r="AJ48" s="239" t="e">
        <f>MATCH(D48,Data!$VL$27:$VL$40,0)</f>
        <v>#N/A</v>
      </c>
      <c r="AK48" s="239" t="e">
        <f>MATCH(E48,Data!$VM$26:$VQ$26,0)</f>
        <v>#N/A</v>
      </c>
      <c r="AL48" s="239" t="e">
        <f>INDEX(Data!$VM$27:$VQ$40,'Cellular Blinds'!AJ48,'Cellular Blinds'!AK48)</f>
        <v>#N/A</v>
      </c>
      <c r="AM48" s="239" t="e">
        <f>MATCH(D48, Data!$VL$2:$VL$16,0)</f>
        <v>#N/A</v>
      </c>
      <c r="AN48" s="239" t="e">
        <f>MATCH(E48,Data!$VM$1:$VQ$1,0)</f>
        <v>#N/A</v>
      </c>
      <c r="AO48" s="239" t="e">
        <f>INDEX(Data!$VM$2:$VQ$16,'Cellular Blinds'!AM48,'Cellular Blinds'!AN48)</f>
        <v>#N/A</v>
      </c>
      <c r="AP48" s="33" t="e">
        <f>VLOOKUP(P48,Data!$UW$14:$UX$28,2,FALSE)</f>
        <v>#N/A</v>
      </c>
      <c r="AQ48" s="239" t="e">
        <f>MATCH(E48, Data!$XS$2:$XS$6,0)</f>
        <v>#N/A</v>
      </c>
      <c r="AR48" s="239" t="e">
        <f>MATCH(F48,Data!$XT$1:$YR$1,0)</f>
        <v>#N/A</v>
      </c>
      <c r="AS48" s="239" t="e">
        <f>INDEX(Data!$XT$2:$YR$6,'Cellular Blinds'!AQ48,'Cellular Blinds'!AR48)</f>
        <v>#N/A</v>
      </c>
      <c r="AT48" s="239" t="b">
        <f>IF(D48=Data!$YU$2,Data!$YV$1,IF(D48=Data!$YU$3,Data!$YW$1,IF(D48=Data!$YU$4,Data!$YX$1,IF(D48=Data!$YU$5,Data!$YY$1,IF(D48=Data!$YU$6,Data!$YZ$1,IF(D48=Data!$YU$7,Data!$ZA$1,IF(D48=Data!$YU$8,Data!$ZB$1,IF(D48=Data!$YU$9,Data!$ZC$1,IF(D48=Data!$YU$10,Data!$ZD$1,IF(D48=Data!$YU$11,Data!$ZE$1,IF(D48=Data!$YU$12,Data!$ZE$1,IF(D48=Data!$YU$13,Data!$ZE$1,IF(D48=Data!$YU$14,Data!$ZG$11,IF(D48=Data!$YU$15,Data!$ZF$11))))))))))))))</f>
        <v>0</v>
      </c>
      <c r="AU48" s="239" t="str">
        <f>IF(D48="","",IF(E48=Data!$ZI$2,VLOOKUP(D48,Data!$ZK$2:$ZL$15,2,FALSE),IF(E48=Data!$ZI$1,VLOOKUP(D48,Data!$ZQ$2:$ZR$13,2,FALSE),IF(E48=Data!$ZI$3,VLOOKUP(D48,Data!$ZW$2:$ZX$13,2,FALSE),IF(E48=Data!$ZI$4,VLOOKUP(D48,Data!$AAC$2:$AAD$13,2,FALSE),IF(E48=Data!$ZI$5,VLOOKUP(D48,Data!$AAC$26:$AAD$37,2,FALSE)))))))</f>
        <v/>
      </c>
      <c r="AV48" s="251" t="str">
        <f t="shared" si="12"/>
        <v/>
      </c>
      <c r="AW48" s="251" t="str">
        <f t="shared" si="13"/>
        <v/>
      </c>
      <c r="AX48" s="239" t="str">
        <f t="shared" si="14"/>
        <v/>
      </c>
      <c r="BA48" s="33" t="str">
        <f t="shared" si="15"/>
        <v>FittingBoth</v>
      </c>
      <c r="BN48" s="476" t="str">
        <f t="shared" si="35"/>
        <v>UChannelNA</v>
      </c>
      <c r="BO48" s="476" t="e">
        <f t="shared" si="16"/>
        <v>#N/A</v>
      </c>
      <c r="BP48" s="476" t="str">
        <f t="shared" si="17"/>
        <v>No</v>
      </c>
      <c r="BQ48" s="476" t="str">
        <f t="shared" si="18"/>
        <v>No</v>
      </c>
      <c r="BR48" s="476" t="e">
        <f t="shared" si="36"/>
        <v>#N/A</v>
      </c>
      <c r="BU48" s="172">
        <f t="shared" si="19"/>
        <v>2</v>
      </c>
      <c r="CB48" s="33" t="e">
        <f t="shared" si="37"/>
        <v>#N/A</v>
      </c>
      <c r="CC48" s="172" t="b">
        <f t="shared" si="38"/>
        <v>0</v>
      </c>
      <c r="CD48" s="172">
        <f t="shared" si="39"/>
        <v>0</v>
      </c>
      <c r="CE48" s="172">
        <f t="shared" si="40"/>
        <v>0</v>
      </c>
      <c r="CF48" s="172">
        <f t="shared" si="41"/>
        <v>0</v>
      </c>
      <c r="CG48" s="172">
        <f t="shared" si="42"/>
        <v>0</v>
      </c>
      <c r="CL48" s="239" t="str">
        <f>IF(D48="","",IF(E48=Data!$ZI$2,VLOOKUP(D48,Data!$ZK$2:$ZP$15,3,FALSE),IF(E48=Data!$ZI$1,VLOOKUP(D48,Data!$ZQ$2:$ZS$13,3,FALSE),IF(E48=Data!$ZI$3,VLOOKUP(D48,Data!$ZW$2:$AAB$13,3,FALSE),IF(E48=Data!$ZI$4,VLOOKUP(D48,Data!$AAC$2:$AAI$13,3,FALSE),IF(E48=Data!$ZI$5,VLOOKUP(D48,Data!$AAC$26:$AAI$37,3,FALSE)))))))</f>
        <v/>
      </c>
      <c r="CM48" s="251">
        <f t="shared" si="20"/>
        <v>0</v>
      </c>
      <c r="CN48" s="251" t="e">
        <f t="shared" si="21"/>
        <v>#VALUE!</v>
      </c>
      <c r="CO48" s="239" t="e">
        <f t="shared" si="22"/>
        <v>#VALUE!</v>
      </c>
      <c r="CP48" s="239" t="str">
        <f>IF(D48="","",IF(E48=Data!$ZI$2,VLOOKUP(D48,Data!$ZK$2:$ZN$15,4,FALSE),IF(E48=Data!$ZI$1,VLOOKUP(D48,Data!$ZQ$2:$ZT$13,4,FALSE),IF(E48=Data!$ZI$3,VLOOKUP(D48,Data!$ZW$2:$AAC$13,4,FALSE),IF(E48=Data!$ZI$4,VLOOKUP(D48,Data!$AAC$2:$AAJ$13,4,FALSE),IF(E48=Data!$ZI$5,VLOOKUP(D48,Data!$AAC$26:$AAJ$37,4,FALSE)))))))</f>
        <v/>
      </c>
      <c r="CQ48" s="251">
        <f t="shared" si="23"/>
        <v>0</v>
      </c>
      <c r="CR48" s="251" t="e">
        <f t="shared" si="24"/>
        <v>#VALUE!</v>
      </c>
      <c r="CS48" s="239" t="e">
        <f t="shared" si="25"/>
        <v>#VALUE!</v>
      </c>
      <c r="CT48" s="311">
        <f t="shared" si="26"/>
        <v>0</v>
      </c>
      <c r="CU48" s="239" t="str">
        <f>IF(D48="","",IF(E48=Data!$ZI$2,VLOOKUP(D48,Data!$ZK$2:$ZO$15,5,FALSE),IF(E48=Data!$ZI$1,VLOOKUP(D48,Data!$ZQ$2:$ZU$13,5,FALSE),IF(E48=Data!$ZI$3,VLOOKUP(D48,Data!$ZW$2:$AAD$13,5,FALSE),IF(E48=Data!$ZI$4,VLOOKUP(D48,Data!$AAC$2:$AAK$13,5,FALSE),IF(E48=Data!$ZI$5,VLOOKUP(D48,Data!$AAC$26:$AAK$37,5,FALSE)))))))</f>
        <v/>
      </c>
      <c r="CV48" s="251">
        <f t="shared" si="27"/>
        <v>0</v>
      </c>
      <c r="CW48" s="251" t="e">
        <f t="shared" si="28"/>
        <v>#VALUE!</v>
      </c>
      <c r="CX48" s="239" t="e">
        <f t="shared" si="29"/>
        <v>#VALUE!</v>
      </c>
      <c r="CY48" s="239" t="str">
        <f>IF(D48="","",IF(E48=Data!$ZI$2,VLOOKUP(D48,Data!$ZK$2:$ZP$15,6,FALSE),IF(E48=Data!$ZI$1,VLOOKUP(D48,Data!$ZQ$2:$ZV$13,6,FALSE),IF(E48=Data!$ZI$3,VLOOKUP(D48,Data!$ZW$2:$AAE$13,6,FALSE),IF(E48=Data!$ZI$4,VLOOKUP(D48,Data!$AAC$2:$AAL$13,6,FALSE),IF(E48=Data!$ZI$5,VLOOKUP(D48,Data!$AAC$26:$AAL$37,6,FALSE)))))))</f>
        <v/>
      </c>
      <c r="CZ48" s="251">
        <f t="shared" si="30"/>
        <v>0</v>
      </c>
      <c r="DA48" s="251" t="e">
        <f t="shared" si="31"/>
        <v>#VALUE!</v>
      </c>
      <c r="DB48" s="239" t="e">
        <f t="shared" si="32"/>
        <v>#VALUE!</v>
      </c>
      <c r="DC48" s="311">
        <f t="shared" si="33"/>
        <v>0</v>
      </c>
    </row>
    <row r="49" spans="1:107" ht="30" customHeight="1">
      <c r="A49" s="52">
        <v>42</v>
      </c>
      <c r="B49" s="13"/>
      <c r="C49" s="13"/>
      <c r="D49" s="13"/>
      <c r="E49" s="235"/>
      <c r="F49" s="235"/>
      <c r="G49" s="235"/>
      <c r="H49" s="235"/>
      <c r="I49" s="14"/>
      <c r="J49" s="14"/>
      <c r="K49" s="14"/>
      <c r="L49" s="14"/>
      <c r="M49" s="525"/>
      <c r="N49" s="526"/>
      <c r="O49" s="15"/>
      <c r="P49" s="15"/>
      <c r="Q49" s="15"/>
      <c r="R49" s="15"/>
      <c r="S49" s="15"/>
      <c r="T49" s="13" t="str">
        <f t="shared" si="9"/>
        <v/>
      </c>
      <c r="U49" s="253" t="str">
        <f t="shared" si="10"/>
        <v/>
      </c>
      <c r="V49" s="471"/>
      <c r="W49" s="482" t="b">
        <f t="shared" si="11"/>
        <v>0</v>
      </c>
      <c r="X49" s="230"/>
      <c r="Y49" s="253"/>
      <c r="AA49" s="33" t="str">
        <f>IF(SUM(--ISNUMBER(SEARCH({"Skylight"}, D49))),Data!$AJ$19,Data!$AJ$1)</f>
        <v>WindowType</v>
      </c>
      <c r="AB49" s="33" t="str">
        <f t="shared" si="34"/>
        <v>OK</v>
      </c>
      <c r="AE49" s="239" t="e">
        <f>MATCH(E49, Data!$TB$2:$TB$6,0)</f>
        <v>#N/A</v>
      </c>
      <c r="AF49" s="239" t="e">
        <f>MATCH(F49,Data!$TC$1:$UB$1,0)</f>
        <v>#N/A</v>
      </c>
      <c r="AG49" s="239" t="e">
        <f>INDEX(Data!$TC$2:$UB$6,'Cellular Blinds'!AE49,'Cellular Blinds'!AF49)</f>
        <v>#N/A</v>
      </c>
      <c r="AH49" s="33" t="e">
        <f>VLOOKUP(D49,Data!$RU$2:$RV$15,2,FALSE)</f>
        <v>#N/A</v>
      </c>
      <c r="AI49" s="33" t="b">
        <f>IF(D49=Data!$UT$2,Data!$UU$1,IF(D49=Data!$UT$3,Data!$UV$1,IF(D49=Data!$UT$4,Data!$UW$1,IF(D49=Data!$UT$5,Data!$UX$1,IF(D49=Data!$UT$6,Data!$UY$1,IF(D49=Data!$UT$7,Data!$UZ$1,IF(D49=Data!$UT$8,Data!$VA$1,IF(D49=Data!$UT$9,Data!$VB$1,IF(D49=Data!$UT$10,Data!$VC$1,IF(D49=Data!$UT$11,Data!$VD$1,IF(D49=Data!$UT$12,Data!$VD$22,IF(D49=Data!$UT$13,Data!$VD$22,IF(D49=Data!$UT$14,Data!$UU$13,IF(D49=Data!$UT$15,Data!$UV$13))))))))))))))</f>
        <v>0</v>
      </c>
      <c r="AJ49" s="239" t="e">
        <f>MATCH(D49,Data!$VL$27:$VL$40,0)</f>
        <v>#N/A</v>
      </c>
      <c r="AK49" s="239" t="e">
        <f>MATCH(E49,Data!$VM$26:$VQ$26,0)</f>
        <v>#N/A</v>
      </c>
      <c r="AL49" s="239" t="e">
        <f>INDEX(Data!$VM$27:$VQ$40,'Cellular Blinds'!AJ49,'Cellular Blinds'!AK49)</f>
        <v>#N/A</v>
      </c>
      <c r="AM49" s="239" t="e">
        <f>MATCH(D49, Data!$VL$2:$VL$16,0)</f>
        <v>#N/A</v>
      </c>
      <c r="AN49" s="239" t="e">
        <f>MATCH(E49,Data!$VM$1:$VQ$1,0)</f>
        <v>#N/A</v>
      </c>
      <c r="AO49" s="239" t="e">
        <f>INDEX(Data!$VM$2:$VQ$16,'Cellular Blinds'!AM49,'Cellular Blinds'!AN49)</f>
        <v>#N/A</v>
      </c>
      <c r="AP49" s="33" t="e">
        <f>VLOOKUP(P49,Data!$UW$14:$UX$28,2,FALSE)</f>
        <v>#N/A</v>
      </c>
      <c r="AQ49" s="239" t="e">
        <f>MATCH(E49, Data!$XS$2:$XS$6,0)</f>
        <v>#N/A</v>
      </c>
      <c r="AR49" s="239" t="e">
        <f>MATCH(F49,Data!$XT$1:$YR$1,0)</f>
        <v>#N/A</v>
      </c>
      <c r="AS49" s="239" t="e">
        <f>INDEX(Data!$XT$2:$YR$6,'Cellular Blinds'!AQ49,'Cellular Blinds'!AR49)</f>
        <v>#N/A</v>
      </c>
      <c r="AT49" s="239" t="b">
        <f>IF(D49=Data!$YU$2,Data!$YV$1,IF(D49=Data!$YU$3,Data!$YW$1,IF(D49=Data!$YU$4,Data!$YX$1,IF(D49=Data!$YU$5,Data!$YY$1,IF(D49=Data!$YU$6,Data!$YZ$1,IF(D49=Data!$YU$7,Data!$ZA$1,IF(D49=Data!$YU$8,Data!$ZB$1,IF(D49=Data!$YU$9,Data!$ZC$1,IF(D49=Data!$YU$10,Data!$ZD$1,IF(D49=Data!$YU$11,Data!$ZE$1,IF(D49=Data!$YU$12,Data!$ZE$1,IF(D49=Data!$YU$13,Data!$ZE$1,IF(D49=Data!$YU$14,Data!$ZG$11,IF(D49=Data!$YU$15,Data!$ZF$11))))))))))))))</f>
        <v>0</v>
      </c>
      <c r="AU49" s="239" t="str">
        <f>IF(D49="","",IF(E49=Data!$ZI$2,VLOOKUP(D49,Data!$ZK$2:$ZL$15,2,FALSE),IF(E49=Data!$ZI$1,VLOOKUP(D49,Data!$ZQ$2:$ZR$13,2,FALSE),IF(E49=Data!$ZI$3,VLOOKUP(D49,Data!$ZW$2:$ZX$13,2,FALSE),IF(E49=Data!$ZI$4,VLOOKUP(D49,Data!$AAC$2:$AAD$13,2,FALSE),IF(E49=Data!$ZI$5,VLOOKUP(D49,Data!$AAC$26:$AAD$37,2,FALSE)))))))</f>
        <v/>
      </c>
      <c r="AV49" s="251" t="str">
        <f t="shared" si="12"/>
        <v/>
      </c>
      <c r="AW49" s="251" t="str">
        <f t="shared" si="13"/>
        <v/>
      </c>
      <c r="AX49" s="239" t="str">
        <f t="shared" si="14"/>
        <v/>
      </c>
      <c r="BA49" s="33" t="str">
        <f t="shared" si="15"/>
        <v>FittingBoth</v>
      </c>
      <c r="BN49" s="476" t="str">
        <f t="shared" si="35"/>
        <v>UChannelNA</v>
      </c>
      <c r="BO49" s="476" t="e">
        <f t="shared" si="16"/>
        <v>#N/A</v>
      </c>
      <c r="BP49" s="476" t="str">
        <f t="shared" si="17"/>
        <v>No</v>
      </c>
      <c r="BQ49" s="476" t="str">
        <f t="shared" si="18"/>
        <v>No</v>
      </c>
      <c r="BR49" s="476" t="e">
        <f t="shared" si="36"/>
        <v>#N/A</v>
      </c>
      <c r="BU49" s="172">
        <f t="shared" si="19"/>
        <v>2</v>
      </c>
      <c r="CB49" s="33" t="e">
        <f t="shared" si="37"/>
        <v>#N/A</v>
      </c>
      <c r="CC49" s="172" t="b">
        <f t="shared" si="38"/>
        <v>0</v>
      </c>
      <c r="CD49" s="172">
        <f t="shared" si="39"/>
        <v>0</v>
      </c>
      <c r="CE49" s="172">
        <f t="shared" si="40"/>
        <v>0</v>
      </c>
      <c r="CF49" s="172">
        <f t="shared" si="41"/>
        <v>0</v>
      </c>
      <c r="CG49" s="172">
        <f t="shared" si="42"/>
        <v>0</v>
      </c>
      <c r="CL49" s="239" t="str">
        <f>IF(D49="","",IF(E49=Data!$ZI$2,VLOOKUP(D49,Data!$ZK$2:$ZP$15,3,FALSE),IF(E49=Data!$ZI$1,VLOOKUP(D49,Data!$ZQ$2:$ZS$13,3,FALSE),IF(E49=Data!$ZI$3,VLOOKUP(D49,Data!$ZW$2:$AAB$13,3,FALSE),IF(E49=Data!$ZI$4,VLOOKUP(D49,Data!$AAC$2:$AAI$13,3,FALSE),IF(E49=Data!$ZI$5,VLOOKUP(D49,Data!$AAC$26:$AAI$37,3,FALSE)))))))</f>
        <v/>
      </c>
      <c r="CM49" s="251">
        <f t="shared" si="20"/>
        <v>0</v>
      </c>
      <c r="CN49" s="251" t="e">
        <f t="shared" si="21"/>
        <v>#VALUE!</v>
      </c>
      <c r="CO49" s="239" t="e">
        <f t="shared" si="22"/>
        <v>#VALUE!</v>
      </c>
      <c r="CP49" s="239" t="str">
        <f>IF(D49="","",IF(E49=Data!$ZI$2,VLOOKUP(D49,Data!$ZK$2:$ZN$15,4,FALSE),IF(E49=Data!$ZI$1,VLOOKUP(D49,Data!$ZQ$2:$ZT$13,4,FALSE),IF(E49=Data!$ZI$3,VLOOKUP(D49,Data!$ZW$2:$AAC$13,4,FALSE),IF(E49=Data!$ZI$4,VLOOKUP(D49,Data!$AAC$2:$AAJ$13,4,FALSE),IF(E49=Data!$ZI$5,VLOOKUP(D49,Data!$AAC$26:$AAJ$37,4,FALSE)))))))</f>
        <v/>
      </c>
      <c r="CQ49" s="251">
        <f t="shared" si="23"/>
        <v>0</v>
      </c>
      <c r="CR49" s="251" t="e">
        <f t="shared" si="24"/>
        <v>#VALUE!</v>
      </c>
      <c r="CS49" s="239" t="e">
        <f t="shared" si="25"/>
        <v>#VALUE!</v>
      </c>
      <c r="CT49" s="311">
        <f t="shared" si="26"/>
        <v>0</v>
      </c>
      <c r="CU49" s="239" t="str">
        <f>IF(D49="","",IF(E49=Data!$ZI$2,VLOOKUP(D49,Data!$ZK$2:$ZO$15,5,FALSE),IF(E49=Data!$ZI$1,VLOOKUP(D49,Data!$ZQ$2:$ZU$13,5,FALSE),IF(E49=Data!$ZI$3,VLOOKUP(D49,Data!$ZW$2:$AAD$13,5,FALSE),IF(E49=Data!$ZI$4,VLOOKUP(D49,Data!$AAC$2:$AAK$13,5,FALSE),IF(E49=Data!$ZI$5,VLOOKUP(D49,Data!$AAC$26:$AAK$37,5,FALSE)))))))</f>
        <v/>
      </c>
      <c r="CV49" s="251">
        <f t="shared" si="27"/>
        <v>0</v>
      </c>
      <c r="CW49" s="251" t="e">
        <f t="shared" si="28"/>
        <v>#VALUE!</v>
      </c>
      <c r="CX49" s="239" t="e">
        <f t="shared" si="29"/>
        <v>#VALUE!</v>
      </c>
      <c r="CY49" s="239" t="str">
        <f>IF(D49="","",IF(E49=Data!$ZI$2,VLOOKUP(D49,Data!$ZK$2:$ZP$15,6,FALSE),IF(E49=Data!$ZI$1,VLOOKUP(D49,Data!$ZQ$2:$ZV$13,6,FALSE),IF(E49=Data!$ZI$3,VLOOKUP(D49,Data!$ZW$2:$AAE$13,6,FALSE),IF(E49=Data!$ZI$4,VLOOKUP(D49,Data!$AAC$2:$AAL$13,6,FALSE),IF(E49=Data!$ZI$5,VLOOKUP(D49,Data!$AAC$26:$AAL$37,6,FALSE)))))))</f>
        <v/>
      </c>
      <c r="CZ49" s="251">
        <f t="shared" si="30"/>
        <v>0</v>
      </c>
      <c r="DA49" s="251" t="e">
        <f t="shared" si="31"/>
        <v>#VALUE!</v>
      </c>
      <c r="DB49" s="239" t="e">
        <f t="shared" si="32"/>
        <v>#VALUE!</v>
      </c>
      <c r="DC49" s="311">
        <f t="shared" si="33"/>
        <v>0</v>
      </c>
    </row>
    <row r="50" spans="1:107" ht="30" customHeight="1">
      <c r="A50" s="52">
        <v>43</v>
      </c>
      <c r="B50" s="13"/>
      <c r="C50" s="13"/>
      <c r="D50" s="13"/>
      <c r="E50" s="235"/>
      <c r="F50" s="235"/>
      <c r="G50" s="235"/>
      <c r="H50" s="235"/>
      <c r="I50" s="14"/>
      <c r="J50" s="14"/>
      <c r="K50" s="14"/>
      <c r="L50" s="14"/>
      <c r="M50" s="525"/>
      <c r="N50" s="526"/>
      <c r="O50" s="15"/>
      <c r="P50" s="15"/>
      <c r="Q50" s="15"/>
      <c r="R50" s="15"/>
      <c r="S50" s="15"/>
      <c r="T50" s="13" t="str">
        <f t="shared" si="9"/>
        <v/>
      </c>
      <c r="U50" s="253" t="str">
        <f t="shared" si="10"/>
        <v/>
      </c>
      <c r="V50" s="471"/>
      <c r="W50" s="482" t="b">
        <f t="shared" si="11"/>
        <v>0</v>
      </c>
      <c r="X50" s="230"/>
      <c r="Y50" s="253"/>
      <c r="AA50" s="33" t="str">
        <f>IF(SUM(--ISNUMBER(SEARCH({"Skylight"}, D50))),Data!$AJ$19,Data!$AJ$1)</f>
        <v>WindowType</v>
      </c>
      <c r="AB50" s="33" t="str">
        <f t="shared" si="34"/>
        <v>OK</v>
      </c>
      <c r="AE50" s="239" t="e">
        <f>MATCH(E50, Data!$TB$2:$TB$6,0)</f>
        <v>#N/A</v>
      </c>
      <c r="AF50" s="239" t="e">
        <f>MATCH(F50,Data!$TC$1:$UB$1,0)</f>
        <v>#N/A</v>
      </c>
      <c r="AG50" s="239" t="e">
        <f>INDEX(Data!$TC$2:$UB$6,'Cellular Blinds'!AE50,'Cellular Blinds'!AF50)</f>
        <v>#N/A</v>
      </c>
      <c r="AH50" s="33" t="e">
        <f>VLOOKUP(D50,Data!$RU$2:$RV$15,2,FALSE)</f>
        <v>#N/A</v>
      </c>
      <c r="AI50" s="33" t="b">
        <f>IF(D50=Data!$UT$2,Data!$UU$1,IF(D50=Data!$UT$3,Data!$UV$1,IF(D50=Data!$UT$4,Data!$UW$1,IF(D50=Data!$UT$5,Data!$UX$1,IF(D50=Data!$UT$6,Data!$UY$1,IF(D50=Data!$UT$7,Data!$UZ$1,IF(D50=Data!$UT$8,Data!$VA$1,IF(D50=Data!$UT$9,Data!$VB$1,IF(D50=Data!$UT$10,Data!$VC$1,IF(D50=Data!$UT$11,Data!$VD$1,IF(D50=Data!$UT$12,Data!$VD$22,IF(D50=Data!$UT$13,Data!$VD$22,IF(D50=Data!$UT$14,Data!$UU$13,IF(D50=Data!$UT$15,Data!$UV$13))))))))))))))</f>
        <v>0</v>
      </c>
      <c r="AJ50" s="239" t="e">
        <f>MATCH(D50,Data!$VL$27:$VL$40,0)</f>
        <v>#N/A</v>
      </c>
      <c r="AK50" s="239" t="e">
        <f>MATCH(E50,Data!$VM$26:$VQ$26,0)</f>
        <v>#N/A</v>
      </c>
      <c r="AL50" s="239" t="e">
        <f>INDEX(Data!$VM$27:$VQ$40,'Cellular Blinds'!AJ50,'Cellular Blinds'!AK50)</f>
        <v>#N/A</v>
      </c>
      <c r="AM50" s="239" t="e">
        <f>MATCH(D50, Data!$VL$2:$VL$16,0)</f>
        <v>#N/A</v>
      </c>
      <c r="AN50" s="239" t="e">
        <f>MATCH(E50,Data!$VM$1:$VQ$1,0)</f>
        <v>#N/A</v>
      </c>
      <c r="AO50" s="239" t="e">
        <f>INDEX(Data!$VM$2:$VQ$16,'Cellular Blinds'!AM50,'Cellular Blinds'!AN50)</f>
        <v>#N/A</v>
      </c>
      <c r="AP50" s="33" t="e">
        <f>VLOOKUP(P50,Data!$UW$14:$UX$28,2,FALSE)</f>
        <v>#N/A</v>
      </c>
      <c r="AQ50" s="239" t="e">
        <f>MATCH(E50, Data!$XS$2:$XS$6,0)</f>
        <v>#N/A</v>
      </c>
      <c r="AR50" s="239" t="e">
        <f>MATCH(F50,Data!$XT$1:$YR$1,0)</f>
        <v>#N/A</v>
      </c>
      <c r="AS50" s="239" t="e">
        <f>INDEX(Data!$XT$2:$YR$6,'Cellular Blinds'!AQ50,'Cellular Blinds'!AR50)</f>
        <v>#N/A</v>
      </c>
      <c r="AT50" s="239" t="b">
        <f>IF(D50=Data!$YU$2,Data!$YV$1,IF(D50=Data!$YU$3,Data!$YW$1,IF(D50=Data!$YU$4,Data!$YX$1,IF(D50=Data!$YU$5,Data!$YY$1,IF(D50=Data!$YU$6,Data!$YZ$1,IF(D50=Data!$YU$7,Data!$ZA$1,IF(D50=Data!$YU$8,Data!$ZB$1,IF(D50=Data!$YU$9,Data!$ZC$1,IF(D50=Data!$YU$10,Data!$ZD$1,IF(D50=Data!$YU$11,Data!$ZE$1,IF(D50=Data!$YU$12,Data!$ZE$1,IF(D50=Data!$YU$13,Data!$ZE$1,IF(D50=Data!$YU$14,Data!$ZG$11,IF(D50=Data!$YU$15,Data!$ZF$11))))))))))))))</f>
        <v>0</v>
      </c>
      <c r="AU50" s="239" t="str">
        <f>IF(D50="","",IF(E50=Data!$ZI$2,VLOOKUP(D50,Data!$ZK$2:$ZL$15,2,FALSE),IF(E50=Data!$ZI$1,VLOOKUP(D50,Data!$ZQ$2:$ZR$13,2,FALSE),IF(E50=Data!$ZI$3,VLOOKUP(D50,Data!$ZW$2:$ZX$13,2,FALSE),IF(E50=Data!$ZI$4,VLOOKUP(D50,Data!$AAC$2:$AAD$13,2,FALSE),IF(E50=Data!$ZI$5,VLOOKUP(D50,Data!$AAC$26:$AAD$37,2,FALSE)))))))</f>
        <v/>
      </c>
      <c r="AV50" s="251" t="str">
        <f t="shared" si="12"/>
        <v/>
      </c>
      <c r="AW50" s="251" t="str">
        <f t="shared" si="13"/>
        <v/>
      </c>
      <c r="AX50" s="239" t="str">
        <f t="shared" si="14"/>
        <v/>
      </c>
      <c r="BA50" s="33" t="str">
        <f t="shared" si="15"/>
        <v>FittingBoth</v>
      </c>
      <c r="BN50" s="476" t="str">
        <f t="shared" si="35"/>
        <v>UChannelNA</v>
      </c>
      <c r="BO50" s="476" t="e">
        <f t="shared" si="16"/>
        <v>#N/A</v>
      </c>
      <c r="BP50" s="476" t="str">
        <f t="shared" si="17"/>
        <v>No</v>
      </c>
      <c r="BQ50" s="476" t="str">
        <f t="shared" si="18"/>
        <v>No</v>
      </c>
      <c r="BR50" s="476" t="e">
        <f t="shared" si="36"/>
        <v>#N/A</v>
      </c>
      <c r="BU50" s="172">
        <f t="shared" si="19"/>
        <v>2</v>
      </c>
      <c r="CB50" s="33" t="e">
        <f t="shared" si="37"/>
        <v>#N/A</v>
      </c>
      <c r="CC50" s="172" t="b">
        <f t="shared" si="38"/>
        <v>0</v>
      </c>
      <c r="CD50" s="172">
        <f t="shared" si="39"/>
        <v>0</v>
      </c>
      <c r="CE50" s="172">
        <f t="shared" si="40"/>
        <v>0</v>
      </c>
      <c r="CF50" s="172">
        <f t="shared" si="41"/>
        <v>0</v>
      </c>
      <c r="CG50" s="172">
        <f t="shared" si="42"/>
        <v>0</v>
      </c>
      <c r="CL50" s="239" t="str">
        <f>IF(D50="","",IF(E50=Data!$ZI$2,VLOOKUP(D50,Data!$ZK$2:$ZP$15,3,FALSE),IF(E50=Data!$ZI$1,VLOOKUP(D50,Data!$ZQ$2:$ZS$13,3,FALSE),IF(E50=Data!$ZI$3,VLOOKUP(D50,Data!$ZW$2:$AAB$13,3,FALSE),IF(E50=Data!$ZI$4,VLOOKUP(D50,Data!$AAC$2:$AAI$13,3,FALSE),IF(E50=Data!$ZI$5,VLOOKUP(D50,Data!$AAC$26:$AAI$37,3,FALSE)))))))</f>
        <v/>
      </c>
      <c r="CM50" s="251">
        <f t="shared" si="20"/>
        <v>0</v>
      </c>
      <c r="CN50" s="251" t="e">
        <f t="shared" si="21"/>
        <v>#VALUE!</v>
      </c>
      <c r="CO50" s="239" t="e">
        <f t="shared" si="22"/>
        <v>#VALUE!</v>
      </c>
      <c r="CP50" s="239" t="str">
        <f>IF(D50="","",IF(E50=Data!$ZI$2,VLOOKUP(D50,Data!$ZK$2:$ZN$15,4,FALSE),IF(E50=Data!$ZI$1,VLOOKUP(D50,Data!$ZQ$2:$ZT$13,4,FALSE),IF(E50=Data!$ZI$3,VLOOKUP(D50,Data!$ZW$2:$AAC$13,4,FALSE),IF(E50=Data!$ZI$4,VLOOKUP(D50,Data!$AAC$2:$AAJ$13,4,FALSE),IF(E50=Data!$ZI$5,VLOOKUP(D50,Data!$AAC$26:$AAJ$37,4,FALSE)))))))</f>
        <v/>
      </c>
      <c r="CQ50" s="251">
        <f t="shared" si="23"/>
        <v>0</v>
      </c>
      <c r="CR50" s="251" t="e">
        <f t="shared" si="24"/>
        <v>#VALUE!</v>
      </c>
      <c r="CS50" s="239" t="e">
        <f t="shared" si="25"/>
        <v>#VALUE!</v>
      </c>
      <c r="CT50" s="311">
        <f t="shared" si="26"/>
        <v>0</v>
      </c>
      <c r="CU50" s="239" t="str">
        <f>IF(D50="","",IF(E50=Data!$ZI$2,VLOOKUP(D50,Data!$ZK$2:$ZO$15,5,FALSE),IF(E50=Data!$ZI$1,VLOOKUP(D50,Data!$ZQ$2:$ZU$13,5,FALSE),IF(E50=Data!$ZI$3,VLOOKUP(D50,Data!$ZW$2:$AAD$13,5,FALSE),IF(E50=Data!$ZI$4,VLOOKUP(D50,Data!$AAC$2:$AAK$13,5,FALSE),IF(E50=Data!$ZI$5,VLOOKUP(D50,Data!$AAC$26:$AAK$37,5,FALSE)))))))</f>
        <v/>
      </c>
      <c r="CV50" s="251">
        <f t="shared" si="27"/>
        <v>0</v>
      </c>
      <c r="CW50" s="251" t="e">
        <f t="shared" si="28"/>
        <v>#VALUE!</v>
      </c>
      <c r="CX50" s="239" t="e">
        <f t="shared" si="29"/>
        <v>#VALUE!</v>
      </c>
      <c r="CY50" s="239" t="str">
        <f>IF(D50="","",IF(E50=Data!$ZI$2,VLOOKUP(D50,Data!$ZK$2:$ZP$15,6,FALSE),IF(E50=Data!$ZI$1,VLOOKUP(D50,Data!$ZQ$2:$ZV$13,6,FALSE),IF(E50=Data!$ZI$3,VLOOKUP(D50,Data!$ZW$2:$AAE$13,6,FALSE),IF(E50=Data!$ZI$4,VLOOKUP(D50,Data!$AAC$2:$AAL$13,6,FALSE),IF(E50=Data!$ZI$5,VLOOKUP(D50,Data!$AAC$26:$AAL$37,6,FALSE)))))))</f>
        <v/>
      </c>
      <c r="CZ50" s="251">
        <f t="shared" si="30"/>
        <v>0</v>
      </c>
      <c r="DA50" s="251" t="e">
        <f t="shared" si="31"/>
        <v>#VALUE!</v>
      </c>
      <c r="DB50" s="239" t="e">
        <f t="shared" si="32"/>
        <v>#VALUE!</v>
      </c>
      <c r="DC50" s="311">
        <f t="shared" si="33"/>
        <v>0</v>
      </c>
    </row>
    <row r="51" spans="1:107" ht="30" customHeight="1">
      <c r="A51" s="52">
        <v>44</v>
      </c>
      <c r="B51" s="13"/>
      <c r="C51" s="13"/>
      <c r="D51" s="13"/>
      <c r="E51" s="235"/>
      <c r="F51" s="235"/>
      <c r="G51" s="235"/>
      <c r="H51" s="235"/>
      <c r="I51" s="14"/>
      <c r="J51" s="14"/>
      <c r="K51" s="14"/>
      <c r="L51" s="14"/>
      <c r="M51" s="525"/>
      <c r="N51" s="526"/>
      <c r="O51" s="15"/>
      <c r="P51" s="15"/>
      <c r="Q51" s="15"/>
      <c r="R51" s="15"/>
      <c r="S51" s="15"/>
      <c r="T51" s="13" t="str">
        <f t="shared" si="9"/>
        <v/>
      </c>
      <c r="U51" s="253" t="str">
        <f t="shared" si="10"/>
        <v/>
      </c>
      <c r="V51" s="471"/>
      <c r="W51" s="482" t="b">
        <f t="shared" si="11"/>
        <v>0</v>
      </c>
      <c r="X51" s="230"/>
      <c r="Y51" s="253"/>
      <c r="AA51" s="33" t="str">
        <f>IF(SUM(--ISNUMBER(SEARCH({"Skylight"}, D51))),Data!$AJ$19,Data!$AJ$1)</f>
        <v>WindowType</v>
      </c>
      <c r="AB51" s="33" t="str">
        <f t="shared" si="34"/>
        <v>OK</v>
      </c>
      <c r="AE51" s="239" t="e">
        <f>MATCH(E51, Data!$TB$2:$TB$6,0)</f>
        <v>#N/A</v>
      </c>
      <c r="AF51" s="239" t="e">
        <f>MATCH(F51,Data!$TC$1:$UB$1,0)</f>
        <v>#N/A</v>
      </c>
      <c r="AG51" s="239" t="e">
        <f>INDEX(Data!$TC$2:$UB$6,'Cellular Blinds'!AE51,'Cellular Blinds'!AF51)</f>
        <v>#N/A</v>
      </c>
      <c r="AH51" s="33" t="e">
        <f>VLOOKUP(D51,Data!$RU$2:$RV$15,2,FALSE)</f>
        <v>#N/A</v>
      </c>
      <c r="AI51" s="33" t="b">
        <f>IF(D51=Data!$UT$2,Data!$UU$1,IF(D51=Data!$UT$3,Data!$UV$1,IF(D51=Data!$UT$4,Data!$UW$1,IF(D51=Data!$UT$5,Data!$UX$1,IF(D51=Data!$UT$6,Data!$UY$1,IF(D51=Data!$UT$7,Data!$UZ$1,IF(D51=Data!$UT$8,Data!$VA$1,IF(D51=Data!$UT$9,Data!$VB$1,IF(D51=Data!$UT$10,Data!$VC$1,IF(D51=Data!$UT$11,Data!$VD$1,IF(D51=Data!$UT$12,Data!$VD$22,IF(D51=Data!$UT$13,Data!$VD$22,IF(D51=Data!$UT$14,Data!$UU$13,IF(D51=Data!$UT$15,Data!$UV$13))))))))))))))</f>
        <v>0</v>
      </c>
      <c r="AJ51" s="239" t="e">
        <f>MATCH(D51,Data!$VL$27:$VL$40,0)</f>
        <v>#N/A</v>
      </c>
      <c r="AK51" s="239" t="e">
        <f>MATCH(E51,Data!$VM$26:$VQ$26,0)</f>
        <v>#N/A</v>
      </c>
      <c r="AL51" s="239" t="e">
        <f>INDEX(Data!$VM$27:$VQ$40,'Cellular Blinds'!AJ51,'Cellular Blinds'!AK51)</f>
        <v>#N/A</v>
      </c>
      <c r="AM51" s="239" t="e">
        <f>MATCH(D51, Data!$VL$2:$VL$16,0)</f>
        <v>#N/A</v>
      </c>
      <c r="AN51" s="239" t="e">
        <f>MATCH(E51,Data!$VM$1:$VQ$1,0)</f>
        <v>#N/A</v>
      </c>
      <c r="AO51" s="239" t="e">
        <f>INDEX(Data!$VM$2:$VQ$16,'Cellular Blinds'!AM51,'Cellular Blinds'!AN51)</f>
        <v>#N/A</v>
      </c>
      <c r="AP51" s="33" t="e">
        <f>VLOOKUP(P51,Data!$UW$14:$UX$28,2,FALSE)</f>
        <v>#N/A</v>
      </c>
      <c r="AQ51" s="239" t="e">
        <f>MATCH(E51, Data!$XS$2:$XS$6,0)</f>
        <v>#N/A</v>
      </c>
      <c r="AR51" s="239" t="e">
        <f>MATCH(F51,Data!$XT$1:$YR$1,0)</f>
        <v>#N/A</v>
      </c>
      <c r="AS51" s="239" t="e">
        <f>INDEX(Data!$XT$2:$YR$6,'Cellular Blinds'!AQ51,'Cellular Blinds'!AR51)</f>
        <v>#N/A</v>
      </c>
      <c r="AT51" s="239" t="b">
        <f>IF(D51=Data!$YU$2,Data!$YV$1,IF(D51=Data!$YU$3,Data!$YW$1,IF(D51=Data!$YU$4,Data!$YX$1,IF(D51=Data!$YU$5,Data!$YY$1,IF(D51=Data!$YU$6,Data!$YZ$1,IF(D51=Data!$YU$7,Data!$ZA$1,IF(D51=Data!$YU$8,Data!$ZB$1,IF(D51=Data!$YU$9,Data!$ZC$1,IF(D51=Data!$YU$10,Data!$ZD$1,IF(D51=Data!$YU$11,Data!$ZE$1,IF(D51=Data!$YU$12,Data!$ZE$1,IF(D51=Data!$YU$13,Data!$ZE$1,IF(D51=Data!$YU$14,Data!$ZG$11,IF(D51=Data!$YU$15,Data!$ZF$11))))))))))))))</f>
        <v>0</v>
      </c>
      <c r="AU51" s="239" t="str">
        <f>IF(D51="","",IF(E51=Data!$ZI$2,VLOOKUP(D51,Data!$ZK$2:$ZL$15,2,FALSE),IF(E51=Data!$ZI$1,VLOOKUP(D51,Data!$ZQ$2:$ZR$13,2,FALSE),IF(E51=Data!$ZI$3,VLOOKUP(D51,Data!$ZW$2:$ZX$13,2,FALSE),IF(E51=Data!$ZI$4,VLOOKUP(D51,Data!$AAC$2:$AAD$13,2,FALSE),IF(E51=Data!$ZI$5,VLOOKUP(D51,Data!$AAC$26:$AAD$37,2,FALSE)))))))</f>
        <v/>
      </c>
      <c r="AV51" s="251" t="str">
        <f t="shared" si="12"/>
        <v/>
      </c>
      <c r="AW51" s="251" t="str">
        <f t="shared" si="13"/>
        <v/>
      </c>
      <c r="AX51" s="239" t="str">
        <f t="shared" si="14"/>
        <v/>
      </c>
      <c r="BA51" s="33" t="str">
        <f t="shared" si="15"/>
        <v>FittingBoth</v>
      </c>
      <c r="BN51" s="476" t="str">
        <f t="shared" si="35"/>
        <v>UChannelNA</v>
      </c>
      <c r="BO51" s="476" t="e">
        <f t="shared" si="16"/>
        <v>#N/A</v>
      </c>
      <c r="BP51" s="476" t="str">
        <f t="shared" si="17"/>
        <v>No</v>
      </c>
      <c r="BQ51" s="476" t="str">
        <f t="shared" si="18"/>
        <v>No</v>
      </c>
      <c r="BR51" s="476" t="e">
        <f t="shared" si="36"/>
        <v>#N/A</v>
      </c>
      <c r="BU51" s="172">
        <f t="shared" si="19"/>
        <v>2</v>
      </c>
      <c r="CB51" s="33" t="e">
        <f t="shared" si="37"/>
        <v>#N/A</v>
      </c>
      <c r="CC51" s="172" t="b">
        <f t="shared" si="38"/>
        <v>0</v>
      </c>
      <c r="CD51" s="172">
        <f t="shared" si="39"/>
        <v>0</v>
      </c>
      <c r="CE51" s="172">
        <f t="shared" si="40"/>
        <v>0</v>
      </c>
      <c r="CF51" s="172">
        <f t="shared" si="41"/>
        <v>0</v>
      </c>
      <c r="CG51" s="172">
        <f t="shared" si="42"/>
        <v>0</v>
      </c>
      <c r="CL51" s="239" t="str">
        <f>IF(D51="","",IF(E51=Data!$ZI$2,VLOOKUP(D51,Data!$ZK$2:$ZP$15,3,FALSE),IF(E51=Data!$ZI$1,VLOOKUP(D51,Data!$ZQ$2:$ZS$13,3,FALSE),IF(E51=Data!$ZI$3,VLOOKUP(D51,Data!$ZW$2:$AAB$13,3,FALSE),IF(E51=Data!$ZI$4,VLOOKUP(D51,Data!$AAC$2:$AAI$13,3,FALSE),IF(E51=Data!$ZI$5,VLOOKUP(D51,Data!$AAC$26:$AAI$37,3,FALSE)))))))</f>
        <v/>
      </c>
      <c r="CM51" s="251">
        <f t="shared" si="20"/>
        <v>0</v>
      </c>
      <c r="CN51" s="251" t="e">
        <f t="shared" si="21"/>
        <v>#VALUE!</v>
      </c>
      <c r="CO51" s="239" t="e">
        <f t="shared" si="22"/>
        <v>#VALUE!</v>
      </c>
      <c r="CP51" s="239" t="str">
        <f>IF(D51="","",IF(E51=Data!$ZI$2,VLOOKUP(D51,Data!$ZK$2:$ZN$15,4,FALSE),IF(E51=Data!$ZI$1,VLOOKUP(D51,Data!$ZQ$2:$ZT$13,4,FALSE),IF(E51=Data!$ZI$3,VLOOKUP(D51,Data!$ZW$2:$AAC$13,4,FALSE),IF(E51=Data!$ZI$4,VLOOKUP(D51,Data!$AAC$2:$AAJ$13,4,FALSE),IF(E51=Data!$ZI$5,VLOOKUP(D51,Data!$AAC$26:$AAJ$37,4,FALSE)))))))</f>
        <v/>
      </c>
      <c r="CQ51" s="251">
        <f t="shared" si="23"/>
        <v>0</v>
      </c>
      <c r="CR51" s="251" t="e">
        <f t="shared" si="24"/>
        <v>#VALUE!</v>
      </c>
      <c r="CS51" s="239" t="e">
        <f t="shared" si="25"/>
        <v>#VALUE!</v>
      </c>
      <c r="CT51" s="311">
        <f t="shared" si="26"/>
        <v>0</v>
      </c>
      <c r="CU51" s="239" t="str">
        <f>IF(D51="","",IF(E51=Data!$ZI$2,VLOOKUP(D51,Data!$ZK$2:$ZO$15,5,FALSE),IF(E51=Data!$ZI$1,VLOOKUP(D51,Data!$ZQ$2:$ZU$13,5,FALSE),IF(E51=Data!$ZI$3,VLOOKUP(D51,Data!$ZW$2:$AAD$13,5,FALSE),IF(E51=Data!$ZI$4,VLOOKUP(D51,Data!$AAC$2:$AAK$13,5,FALSE),IF(E51=Data!$ZI$5,VLOOKUP(D51,Data!$AAC$26:$AAK$37,5,FALSE)))))))</f>
        <v/>
      </c>
      <c r="CV51" s="251">
        <f t="shared" si="27"/>
        <v>0</v>
      </c>
      <c r="CW51" s="251" t="e">
        <f t="shared" si="28"/>
        <v>#VALUE!</v>
      </c>
      <c r="CX51" s="239" t="e">
        <f t="shared" si="29"/>
        <v>#VALUE!</v>
      </c>
      <c r="CY51" s="239" t="str">
        <f>IF(D51="","",IF(E51=Data!$ZI$2,VLOOKUP(D51,Data!$ZK$2:$ZP$15,6,FALSE),IF(E51=Data!$ZI$1,VLOOKUP(D51,Data!$ZQ$2:$ZV$13,6,FALSE),IF(E51=Data!$ZI$3,VLOOKUP(D51,Data!$ZW$2:$AAE$13,6,FALSE),IF(E51=Data!$ZI$4,VLOOKUP(D51,Data!$AAC$2:$AAL$13,6,FALSE),IF(E51=Data!$ZI$5,VLOOKUP(D51,Data!$AAC$26:$AAL$37,6,FALSE)))))))</f>
        <v/>
      </c>
      <c r="CZ51" s="251">
        <f t="shared" si="30"/>
        <v>0</v>
      </c>
      <c r="DA51" s="251" t="e">
        <f t="shared" si="31"/>
        <v>#VALUE!</v>
      </c>
      <c r="DB51" s="239" t="e">
        <f t="shared" si="32"/>
        <v>#VALUE!</v>
      </c>
      <c r="DC51" s="311">
        <f t="shared" si="33"/>
        <v>0</v>
      </c>
    </row>
    <row r="52" spans="1:107" ht="30" customHeight="1">
      <c r="A52" s="52">
        <v>45</v>
      </c>
      <c r="B52" s="13"/>
      <c r="C52" s="13"/>
      <c r="D52" s="13"/>
      <c r="E52" s="235"/>
      <c r="F52" s="235"/>
      <c r="G52" s="235"/>
      <c r="H52" s="235"/>
      <c r="I52" s="14"/>
      <c r="J52" s="14"/>
      <c r="K52" s="14"/>
      <c r="L52" s="14"/>
      <c r="M52" s="525"/>
      <c r="N52" s="526"/>
      <c r="O52" s="15"/>
      <c r="P52" s="15"/>
      <c r="Q52" s="15"/>
      <c r="R52" s="15"/>
      <c r="S52" s="15"/>
      <c r="T52" s="13" t="str">
        <f t="shared" si="9"/>
        <v/>
      </c>
      <c r="U52" s="253" t="str">
        <f t="shared" si="10"/>
        <v/>
      </c>
      <c r="V52" s="471"/>
      <c r="W52" s="482" t="b">
        <f t="shared" si="11"/>
        <v>0</v>
      </c>
      <c r="X52" s="230"/>
      <c r="Y52" s="253"/>
      <c r="AA52" s="33" t="str">
        <f>IF(SUM(--ISNUMBER(SEARCH({"Skylight"}, D52))),Data!$AJ$19,Data!$AJ$1)</f>
        <v>WindowType</v>
      </c>
      <c r="AB52" s="33" t="str">
        <f t="shared" si="34"/>
        <v>OK</v>
      </c>
      <c r="AE52" s="239" t="e">
        <f>MATCH(E52, Data!$TB$2:$TB$6,0)</f>
        <v>#N/A</v>
      </c>
      <c r="AF52" s="239" t="e">
        <f>MATCH(F52,Data!$TC$1:$UB$1,0)</f>
        <v>#N/A</v>
      </c>
      <c r="AG52" s="239" t="e">
        <f>INDEX(Data!$TC$2:$UB$6,'Cellular Blinds'!AE52,'Cellular Blinds'!AF52)</f>
        <v>#N/A</v>
      </c>
      <c r="AH52" s="33" t="e">
        <f>VLOOKUP(D52,Data!$RU$2:$RV$15,2,FALSE)</f>
        <v>#N/A</v>
      </c>
      <c r="AI52" s="33" t="b">
        <f>IF(D52=Data!$UT$2,Data!$UU$1,IF(D52=Data!$UT$3,Data!$UV$1,IF(D52=Data!$UT$4,Data!$UW$1,IF(D52=Data!$UT$5,Data!$UX$1,IF(D52=Data!$UT$6,Data!$UY$1,IF(D52=Data!$UT$7,Data!$UZ$1,IF(D52=Data!$UT$8,Data!$VA$1,IF(D52=Data!$UT$9,Data!$VB$1,IF(D52=Data!$UT$10,Data!$VC$1,IF(D52=Data!$UT$11,Data!$VD$1,IF(D52=Data!$UT$12,Data!$VD$22,IF(D52=Data!$UT$13,Data!$VD$22,IF(D52=Data!$UT$14,Data!$UU$13,IF(D52=Data!$UT$15,Data!$UV$13))))))))))))))</f>
        <v>0</v>
      </c>
      <c r="AJ52" s="239" t="e">
        <f>MATCH(D52,Data!$VL$27:$VL$40,0)</f>
        <v>#N/A</v>
      </c>
      <c r="AK52" s="239" t="e">
        <f>MATCH(E52,Data!$VM$26:$VQ$26,0)</f>
        <v>#N/A</v>
      </c>
      <c r="AL52" s="239" t="e">
        <f>INDEX(Data!$VM$27:$VQ$40,'Cellular Blinds'!AJ52,'Cellular Blinds'!AK52)</f>
        <v>#N/A</v>
      </c>
      <c r="AM52" s="239" t="e">
        <f>MATCH(D52, Data!$VL$2:$VL$16,0)</f>
        <v>#N/A</v>
      </c>
      <c r="AN52" s="239" t="e">
        <f>MATCH(E52,Data!$VM$1:$VQ$1,0)</f>
        <v>#N/A</v>
      </c>
      <c r="AO52" s="239" t="e">
        <f>INDEX(Data!$VM$2:$VQ$16,'Cellular Blinds'!AM52,'Cellular Blinds'!AN52)</f>
        <v>#N/A</v>
      </c>
      <c r="AP52" s="33" t="e">
        <f>VLOOKUP(P52,Data!$UW$14:$UX$28,2,FALSE)</f>
        <v>#N/A</v>
      </c>
      <c r="AQ52" s="239" t="e">
        <f>MATCH(E52, Data!$XS$2:$XS$6,0)</f>
        <v>#N/A</v>
      </c>
      <c r="AR52" s="239" t="e">
        <f>MATCH(F52,Data!$XT$1:$YR$1,0)</f>
        <v>#N/A</v>
      </c>
      <c r="AS52" s="239" t="e">
        <f>INDEX(Data!$XT$2:$YR$6,'Cellular Blinds'!AQ52,'Cellular Blinds'!AR52)</f>
        <v>#N/A</v>
      </c>
      <c r="AT52" s="239" t="b">
        <f>IF(D52=Data!$YU$2,Data!$YV$1,IF(D52=Data!$YU$3,Data!$YW$1,IF(D52=Data!$YU$4,Data!$YX$1,IF(D52=Data!$YU$5,Data!$YY$1,IF(D52=Data!$YU$6,Data!$YZ$1,IF(D52=Data!$YU$7,Data!$ZA$1,IF(D52=Data!$YU$8,Data!$ZB$1,IF(D52=Data!$YU$9,Data!$ZC$1,IF(D52=Data!$YU$10,Data!$ZD$1,IF(D52=Data!$YU$11,Data!$ZE$1,IF(D52=Data!$YU$12,Data!$ZE$1,IF(D52=Data!$YU$13,Data!$ZE$1,IF(D52=Data!$YU$14,Data!$ZG$11,IF(D52=Data!$YU$15,Data!$ZF$11))))))))))))))</f>
        <v>0</v>
      </c>
      <c r="AU52" s="239" t="str">
        <f>IF(D52="","",IF(E52=Data!$ZI$2,VLOOKUP(D52,Data!$ZK$2:$ZL$15,2,FALSE),IF(E52=Data!$ZI$1,VLOOKUP(D52,Data!$ZQ$2:$ZR$13,2,FALSE),IF(E52=Data!$ZI$3,VLOOKUP(D52,Data!$ZW$2:$ZX$13,2,FALSE),IF(E52=Data!$ZI$4,VLOOKUP(D52,Data!$AAC$2:$AAD$13,2,FALSE),IF(E52=Data!$ZI$5,VLOOKUP(D52,Data!$AAC$26:$AAD$37,2,FALSE)))))))</f>
        <v/>
      </c>
      <c r="AV52" s="251" t="str">
        <f t="shared" si="12"/>
        <v/>
      </c>
      <c r="AW52" s="251" t="str">
        <f t="shared" si="13"/>
        <v/>
      </c>
      <c r="AX52" s="239" t="str">
        <f t="shared" si="14"/>
        <v/>
      </c>
      <c r="BA52" s="33" t="str">
        <f t="shared" si="15"/>
        <v>FittingBoth</v>
      </c>
      <c r="BN52" s="476" t="str">
        <f t="shared" si="35"/>
        <v>UChannelNA</v>
      </c>
      <c r="BO52" s="476" t="e">
        <f t="shared" si="16"/>
        <v>#N/A</v>
      </c>
      <c r="BP52" s="476" t="str">
        <f t="shared" si="17"/>
        <v>No</v>
      </c>
      <c r="BQ52" s="476" t="str">
        <f t="shared" si="18"/>
        <v>No</v>
      </c>
      <c r="BR52" s="476" t="e">
        <f t="shared" si="36"/>
        <v>#N/A</v>
      </c>
      <c r="BU52" s="172">
        <f t="shared" si="19"/>
        <v>2</v>
      </c>
      <c r="CB52" s="33" t="e">
        <f t="shared" si="37"/>
        <v>#N/A</v>
      </c>
      <c r="CC52" s="172" t="b">
        <f t="shared" si="38"/>
        <v>0</v>
      </c>
      <c r="CD52" s="172">
        <f t="shared" si="39"/>
        <v>0</v>
      </c>
      <c r="CE52" s="172">
        <f t="shared" si="40"/>
        <v>0</v>
      </c>
      <c r="CF52" s="172">
        <f t="shared" si="41"/>
        <v>0</v>
      </c>
      <c r="CG52" s="172">
        <f t="shared" si="42"/>
        <v>0</v>
      </c>
      <c r="CL52" s="239" t="str">
        <f>IF(D52="","",IF(E52=Data!$ZI$2,VLOOKUP(D52,Data!$ZK$2:$ZP$15,3,FALSE),IF(E52=Data!$ZI$1,VLOOKUP(D52,Data!$ZQ$2:$ZS$13,3,FALSE),IF(E52=Data!$ZI$3,VLOOKUP(D52,Data!$ZW$2:$AAB$13,3,FALSE),IF(E52=Data!$ZI$4,VLOOKUP(D52,Data!$AAC$2:$AAI$13,3,FALSE),IF(E52=Data!$ZI$5,VLOOKUP(D52,Data!$AAC$26:$AAI$37,3,FALSE)))))))</f>
        <v/>
      </c>
      <c r="CM52" s="251">
        <f t="shared" si="20"/>
        <v>0</v>
      </c>
      <c r="CN52" s="251" t="e">
        <f t="shared" si="21"/>
        <v>#VALUE!</v>
      </c>
      <c r="CO52" s="239" t="e">
        <f t="shared" si="22"/>
        <v>#VALUE!</v>
      </c>
      <c r="CP52" s="239" t="str">
        <f>IF(D52="","",IF(E52=Data!$ZI$2,VLOOKUP(D52,Data!$ZK$2:$ZN$15,4,FALSE),IF(E52=Data!$ZI$1,VLOOKUP(D52,Data!$ZQ$2:$ZT$13,4,FALSE),IF(E52=Data!$ZI$3,VLOOKUP(D52,Data!$ZW$2:$AAC$13,4,FALSE),IF(E52=Data!$ZI$4,VLOOKUP(D52,Data!$AAC$2:$AAJ$13,4,FALSE),IF(E52=Data!$ZI$5,VLOOKUP(D52,Data!$AAC$26:$AAJ$37,4,FALSE)))))))</f>
        <v/>
      </c>
      <c r="CQ52" s="251">
        <f t="shared" si="23"/>
        <v>0</v>
      </c>
      <c r="CR52" s="251" t="e">
        <f t="shared" si="24"/>
        <v>#VALUE!</v>
      </c>
      <c r="CS52" s="239" t="e">
        <f t="shared" si="25"/>
        <v>#VALUE!</v>
      </c>
      <c r="CT52" s="311">
        <f t="shared" si="26"/>
        <v>0</v>
      </c>
      <c r="CU52" s="239" t="str">
        <f>IF(D52="","",IF(E52=Data!$ZI$2,VLOOKUP(D52,Data!$ZK$2:$ZO$15,5,FALSE),IF(E52=Data!$ZI$1,VLOOKUP(D52,Data!$ZQ$2:$ZU$13,5,FALSE),IF(E52=Data!$ZI$3,VLOOKUP(D52,Data!$ZW$2:$AAD$13,5,FALSE),IF(E52=Data!$ZI$4,VLOOKUP(D52,Data!$AAC$2:$AAK$13,5,FALSE),IF(E52=Data!$ZI$5,VLOOKUP(D52,Data!$AAC$26:$AAK$37,5,FALSE)))))))</f>
        <v/>
      </c>
      <c r="CV52" s="251">
        <f t="shared" si="27"/>
        <v>0</v>
      </c>
      <c r="CW52" s="251" t="e">
        <f t="shared" si="28"/>
        <v>#VALUE!</v>
      </c>
      <c r="CX52" s="239" t="e">
        <f t="shared" si="29"/>
        <v>#VALUE!</v>
      </c>
      <c r="CY52" s="239" t="str">
        <f>IF(D52="","",IF(E52=Data!$ZI$2,VLOOKUP(D52,Data!$ZK$2:$ZP$15,6,FALSE),IF(E52=Data!$ZI$1,VLOOKUP(D52,Data!$ZQ$2:$ZV$13,6,FALSE),IF(E52=Data!$ZI$3,VLOOKUP(D52,Data!$ZW$2:$AAE$13,6,FALSE),IF(E52=Data!$ZI$4,VLOOKUP(D52,Data!$AAC$2:$AAL$13,6,FALSE),IF(E52=Data!$ZI$5,VLOOKUP(D52,Data!$AAC$26:$AAL$37,6,FALSE)))))))</f>
        <v/>
      </c>
      <c r="CZ52" s="251">
        <f t="shared" si="30"/>
        <v>0</v>
      </c>
      <c r="DA52" s="251" t="e">
        <f t="shared" si="31"/>
        <v>#VALUE!</v>
      </c>
      <c r="DB52" s="239" t="e">
        <f t="shared" si="32"/>
        <v>#VALUE!</v>
      </c>
      <c r="DC52" s="311">
        <f t="shared" si="33"/>
        <v>0</v>
      </c>
    </row>
    <row r="53" spans="1:107" ht="30" customHeight="1">
      <c r="A53" s="52">
        <v>46</v>
      </c>
      <c r="B53" s="19"/>
      <c r="C53" s="13"/>
      <c r="D53" s="13"/>
      <c r="E53" s="235"/>
      <c r="F53" s="235"/>
      <c r="G53" s="235"/>
      <c r="H53" s="235"/>
      <c r="I53" s="14"/>
      <c r="J53" s="14"/>
      <c r="K53" s="14"/>
      <c r="L53" s="14"/>
      <c r="M53" s="525"/>
      <c r="N53" s="526"/>
      <c r="O53" s="15"/>
      <c r="P53" s="15"/>
      <c r="Q53" s="15"/>
      <c r="R53" s="15"/>
      <c r="S53" s="15"/>
      <c r="T53" s="13" t="str">
        <f t="shared" si="9"/>
        <v/>
      </c>
      <c r="U53" s="253" t="str">
        <f t="shared" si="10"/>
        <v/>
      </c>
      <c r="V53" s="471"/>
      <c r="W53" s="482" t="b">
        <f t="shared" si="11"/>
        <v>0</v>
      </c>
      <c r="X53" s="230"/>
      <c r="Y53" s="253"/>
      <c r="AA53" s="33" t="str">
        <f>IF(SUM(--ISNUMBER(SEARCH({"Skylight"}, D53))),Data!$AJ$19,Data!$AJ$1)</f>
        <v>WindowType</v>
      </c>
      <c r="AB53" s="33" t="str">
        <f t="shared" si="34"/>
        <v>OK</v>
      </c>
      <c r="AE53" s="239" t="e">
        <f>MATCH(E53, Data!$TB$2:$TB$6,0)</f>
        <v>#N/A</v>
      </c>
      <c r="AF53" s="239" t="e">
        <f>MATCH(F53,Data!$TC$1:$UB$1,0)</f>
        <v>#N/A</v>
      </c>
      <c r="AG53" s="239" t="e">
        <f>INDEX(Data!$TC$2:$UB$6,'Cellular Blinds'!AE53,'Cellular Blinds'!AF53)</f>
        <v>#N/A</v>
      </c>
      <c r="AH53" s="33" t="e">
        <f>VLOOKUP(D53,Data!$RU$2:$RV$15,2,FALSE)</f>
        <v>#N/A</v>
      </c>
      <c r="AI53" s="33" t="b">
        <f>IF(D53=Data!$UT$2,Data!$UU$1,IF(D53=Data!$UT$3,Data!$UV$1,IF(D53=Data!$UT$4,Data!$UW$1,IF(D53=Data!$UT$5,Data!$UX$1,IF(D53=Data!$UT$6,Data!$UY$1,IF(D53=Data!$UT$7,Data!$UZ$1,IF(D53=Data!$UT$8,Data!$VA$1,IF(D53=Data!$UT$9,Data!$VB$1,IF(D53=Data!$UT$10,Data!$VC$1,IF(D53=Data!$UT$11,Data!$VD$1,IF(D53=Data!$UT$12,Data!$VD$22,IF(D53=Data!$UT$13,Data!$VD$22,IF(D53=Data!$UT$14,Data!$UU$13,IF(D53=Data!$UT$15,Data!$UV$13))))))))))))))</f>
        <v>0</v>
      </c>
      <c r="AJ53" s="239" t="e">
        <f>MATCH(D53,Data!$VL$27:$VL$40,0)</f>
        <v>#N/A</v>
      </c>
      <c r="AK53" s="239" t="e">
        <f>MATCH(E53,Data!$VM$26:$VQ$26,0)</f>
        <v>#N/A</v>
      </c>
      <c r="AL53" s="239" t="e">
        <f>INDEX(Data!$VM$27:$VQ$40,'Cellular Blinds'!AJ53,'Cellular Blinds'!AK53)</f>
        <v>#N/A</v>
      </c>
      <c r="AM53" s="239" t="e">
        <f>MATCH(D53, Data!$VL$2:$VL$16,0)</f>
        <v>#N/A</v>
      </c>
      <c r="AN53" s="239" t="e">
        <f>MATCH(E53,Data!$VM$1:$VQ$1,0)</f>
        <v>#N/A</v>
      </c>
      <c r="AO53" s="239" t="e">
        <f>INDEX(Data!$VM$2:$VQ$16,'Cellular Blinds'!AM53,'Cellular Blinds'!AN53)</f>
        <v>#N/A</v>
      </c>
      <c r="AP53" s="33" t="e">
        <f>VLOOKUP(P53,Data!$UW$14:$UX$28,2,FALSE)</f>
        <v>#N/A</v>
      </c>
      <c r="AQ53" s="239" t="e">
        <f>MATCH(E53, Data!$XS$2:$XS$6,0)</f>
        <v>#N/A</v>
      </c>
      <c r="AR53" s="239" t="e">
        <f>MATCH(F53,Data!$XT$1:$YR$1,0)</f>
        <v>#N/A</v>
      </c>
      <c r="AS53" s="239" t="e">
        <f>INDEX(Data!$XT$2:$YR$6,'Cellular Blinds'!AQ53,'Cellular Blinds'!AR53)</f>
        <v>#N/A</v>
      </c>
      <c r="AT53" s="239" t="b">
        <f>IF(D53=Data!$YU$2,Data!$YV$1,IF(D53=Data!$YU$3,Data!$YW$1,IF(D53=Data!$YU$4,Data!$YX$1,IF(D53=Data!$YU$5,Data!$YY$1,IF(D53=Data!$YU$6,Data!$YZ$1,IF(D53=Data!$YU$7,Data!$ZA$1,IF(D53=Data!$YU$8,Data!$ZB$1,IF(D53=Data!$YU$9,Data!$ZC$1,IF(D53=Data!$YU$10,Data!$ZD$1,IF(D53=Data!$YU$11,Data!$ZE$1,IF(D53=Data!$YU$12,Data!$ZE$1,IF(D53=Data!$YU$13,Data!$ZE$1,IF(D53=Data!$YU$14,Data!$ZG$11,IF(D53=Data!$YU$15,Data!$ZF$11))))))))))))))</f>
        <v>0</v>
      </c>
      <c r="AU53" s="239" t="str">
        <f>IF(D53="","",IF(E53=Data!$ZI$2,VLOOKUP(D53,Data!$ZK$2:$ZL$15,2,FALSE),IF(E53=Data!$ZI$1,VLOOKUP(D53,Data!$ZQ$2:$ZR$13,2,FALSE),IF(E53=Data!$ZI$3,VLOOKUP(D53,Data!$ZW$2:$ZX$13,2,FALSE),IF(E53=Data!$ZI$4,VLOOKUP(D53,Data!$AAC$2:$AAD$13,2,FALSE),IF(E53=Data!$ZI$5,VLOOKUP(D53,Data!$AAC$26:$AAD$37,2,FALSE)))))))</f>
        <v/>
      </c>
      <c r="AV53" s="251" t="str">
        <f t="shared" si="12"/>
        <v/>
      </c>
      <c r="AW53" s="251" t="str">
        <f t="shared" si="13"/>
        <v/>
      </c>
      <c r="AX53" s="239" t="str">
        <f t="shared" si="14"/>
        <v/>
      </c>
      <c r="BA53" s="33" t="str">
        <f t="shared" si="15"/>
        <v>FittingBoth</v>
      </c>
      <c r="BN53" s="476" t="str">
        <f t="shared" si="35"/>
        <v>UChannelNA</v>
      </c>
      <c r="BO53" s="476" t="e">
        <f t="shared" si="16"/>
        <v>#N/A</v>
      </c>
      <c r="BP53" s="476" t="str">
        <f t="shared" si="17"/>
        <v>No</v>
      </c>
      <c r="BQ53" s="476" t="str">
        <f t="shared" si="18"/>
        <v>No</v>
      </c>
      <c r="BR53" s="476" t="e">
        <f t="shared" si="36"/>
        <v>#N/A</v>
      </c>
      <c r="BU53" s="172">
        <f t="shared" si="19"/>
        <v>2</v>
      </c>
      <c r="CB53" s="33" t="e">
        <f t="shared" si="37"/>
        <v>#N/A</v>
      </c>
      <c r="CC53" s="172" t="b">
        <f t="shared" si="38"/>
        <v>0</v>
      </c>
      <c r="CD53" s="172">
        <f t="shared" si="39"/>
        <v>0</v>
      </c>
      <c r="CE53" s="172">
        <f t="shared" si="40"/>
        <v>0</v>
      </c>
      <c r="CF53" s="172">
        <f t="shared" si="41"/>
        <v>0</v>
      </c>
      <c r="CG53" s="172">
        <f t="shared" si="42"/>
        <v>0</v>
      </c>
      <c r="CL53" s="239" t="str">
        <f>IF(D53="","",IF(E53=Data!$ZI$2,VLOOKUP(D53,Data!$ZK$2:$ZP$15,3,FALSE),IF(E53=Data!$ZI$1,VLOOKUP(D53,Data!$ZQ$2:$ZS$13,3,FALSE),IF(E53=Data!$ZI$3,VLOOKUP(D53,Data!$ZW$2:$AAB$13,3,FALSE),IF(E53=Data!$ZI$4,VLOOKUP(D53,Data!$AAC$2:$AAI$13,3,FALSE),IF(E53=Data!$ZI$5,VLOOKUP(D53,Data!$AAC$26:$AAI$37,3,FALSE)))))))</f>
        <v/>
      </c>
      <c r="CM53" s="251">
        <f t="shared" si="20"/>
        <v>0</v>
      </c>
      <c r="CN53" s="251" t="e">
        <f t="shared" si="21"/>
        <v>#VALUE!</v>
      </c>
      <c r="CO53" s="239" t="e">
        <f t="shared" si="22"/>
        <v>#VALUE!</v>
      </c>
      <c r="CP53" s="239" t="str">
        <f>IF(D53="","",IF(E53=Data!$ZI$2,VLOOKUP(D53,Data!$ZK$2:$ZN$15,4,FALSE),IF(E53=Data!$ZI$1,VLOOKUP(D53,Data!$ZQ$2:$ZT$13,4,FALSE),IF(E53=Data!$ZI$3,VLOOKUP(D53,Data!$ZW$2:$AAC$13,4,FALSE),IF(E53=Data!$ZI$4,VLOOKUP(D53,Data!$AAC$2:$AAJ$13,4,FALSE),IF(E53=Data!$ZI$5,VLOOKUP(D53,Data!$AAC$26:$AAJ$37,4,FALSE)))))))</f>
        <v/>
      </c>
      <c r="CQ53" s="251">
        <f t="shared" si="23"/>
        <v>0</v>
      </c>
      <c r="CR53" s="251" t="e">
        <f t="shared" si="24"/>
        <v>#VALUE!</v>
      </c>
      <c r="CS53" s="239" t="e">
        <f t="shared" si="25"/>
        <v>#VALUE!</v>
      </c>
      <c r="CT53" s="311">
        <f t="shared" si="26"/>
        <v>0</v>
      </c>
      <c r="CU53" s="239" t="str">
        <f>IF(D53="","",IF(E53=Data!$ZI$2,VLOOKUP(D53,Data!$ZK$2:$ZO$15,5,FALSE),IF(E53=Data!$ZI$1,VLOOKUP(D53,Data!$ZQ$2:$ZU$13,5,FALSE),IF(E53=Data!$ZI$3,VLOOKUP(D53,Data!$ZW$2:$AAD$13,5,FALSE),IF(E53=Data!$ZI$4,VLOOKUP(D53,Data!$AAC$2:$AAK$13,5,FALSE),IF(E53=Data!$ZI$5,VLOOKUP(D53,Data!$AAC$26:$AAK$37,5,FALSE)))))))</f>
        <v/>
      </c>
      <c r="CV53" s="251">
        <f t="shared" si="27"/>
        <v>0</v>
      </c>
      <c r="CW53" s="251" t="e">
        <f t="shared" si="28"/>
        <v>#VALUE!</v>
      </c>
      <c r="CX53" s="239" t="e">
        <f t="shared" si="29"/>
        <v>#VALUE!</v>
      </c>
      <c r="CY53" s="239" t="str">
        <f>IF(D53="","",IF(E53=Data!$ZI$2,VLOOKUP(D53,Data!$ZK$2:$ZP$15,6,FALSE),IF(E53=Data!$ZI$1,VLOOKUP(D53,Data!$ZQ$2:$ZV$13,6,FALSE),IF(E53=Data!$ZI$3,VLOOKUP(D53,Data!$ZW$2:$AAE$13,6,FALSE),IF(E53=Data!$ZI$4,VLOOKUP(D53,Data!$AAC$2:$AAL$13,6,FALSE),IF(E53=Data!$ZI$5,VLOOKUP(D53,Data!$AAC$26:$AAL$37,6,FALSE)))))))</f>
        <v/>
      </c>
      <c r="CZ53" s="251">
        <f t="shared" si="30"/>
        <v>0</v>
      </c>
      <c r="DA53" s="251" t="e">
        <f t="shared" si="31"/>
        <v>#VALUE!</v>
      </c>
      <c r="DB53" s="239" t="e">
        <f t="shared" si="32"/>
        <v>#VALUE!</v>
      </c>
      <c r="DC53" s="311">
        <f t="shared" si="33"/>
        <v>0</v>
      </c>
    </row>
    <row r="54" spans="1:107" ht="30" customHeight="1">
      <c r="A54" s="52">
        <v>47</v>
      </c>
      <c r="B54" s="13"/>
      <c r="C54" s="13"/>
      <c r="D54" s="13"/>
      <c r="E54" s="235"/>
      <c r="F54" s="235"/>
      <c r="G54" s="235"/>
      <c r="H54" s="235"/>
      <c r="I54" s="14"/>
      <c r="J54" s="14"/>
      <c r="K54" s="14"/>
      <c r="L54" s="14"/>
      <c r="M54" s="525"/>
      <c r="N54" s="526"/>
      <c r="O54" s="15"/>
      <c r="P54" s="15"/>
      <c r="Q54" s="15"/>
      <c r="R54" s="15"/>
      <c r="S54" s="15"/>
      <c r="T54" s="13" t="str">
        <f t="shared" si="9"/>
        <v/>
      </c>
      <c r="U54" s="253" t="str">
        <f t="shared" si="10"/>
        <v/>
      </c>
      <c r="V54" s="471"/>
      <c r="W54" s="482" t="b">
        <f t="shared" si="11"/>
        <v>0</v>
      </c>
      <c r="X54" s="230"/>
      <c r="Y54" s="253"/>
      <c r="AA54" s="33" t="str">
        <f>IF(SUM(--ISNUMBER(SEARCH({"Skylight"}, D54))),Data!$AJ$19,Data!$AJ$1)</f>
        <v>WindowType</v>
      </c>
      <c r="AB54" s="33" t="str">
        <f t="shared" si="34"/>
        <v>OK</v>
      </c>
      <c r="AE54" s="239" t="e">
        <f>MATCH(E54, Data!$TB$2:$TB$6,0)</f>
        <v>#N/A</v>
      </c>
      <c r="AF54" s="239" t="e">
        <f>MATCH(F54,Data!$TC$1:$UB$1,0)</f>
        <v>#N/A</v>
      </c>
      <c r="AG54" s="239" t="e">
        <f>INDEX(Data!$TC$2:$UB$6,'Cellular Blinds'!AE54,'Cellular Blinds'!AF54)</f>
        <v>#N/A</v>
      </c>
      <c r="AH54" s="33" t="e">
        <f>VLOOKUP(D54,Data!$RU$2:$RV$15,2,FALSE)</f>
        <v>#N/A</v>
      </c>
      <c r="AI54" s="33" t="b">
        <f>IF(D54=Data!$UT$2,Data!$UU$1,IF(D54=Data!$UT$3,Data!$UV$1,IF(D54=Data!$UT$4,Data!$UW$1,IF(D54=Data!$UT$5,Data!$UX$1,IF(D54=Data!$UT$6,Data!$UY$1,IF(D54=Data!$UT$7,Data!$UZ$1,IF(D54=Data!$UT$8,Data!$VA$1,IF(D54=Data!$UT$9,Data!$VB$1,IF(D54=Data!$UT$10,Data!$VC$1,IF(D54=Data!$UT$11,Data!$VD$1,IF(D54=Data!$UT$12,Data!$VD$22,IF(D54=Data!$UT$13,Data!$VD$22,IF(D54=Data!$UT$14,Data!$UU$13,IF(D54=Data!$UT$15,Data!$UV$13))))))))))))))</f>
        <v>0</v>
      </c>
      <c r="AJ54" s="239" t="e">
        <f>MATCH(D54,Data!$VL$27:$VL$40,0)</f>
        <v>#N/A</v>
      </c>
      <c r="AK54" s="239" t="e">
        <f>MATCH(E54,Data!$VM$26:$VQ$26,0)</f>
        <v>#N/A</v>
      </c>
      <c r="AL54" s="239" t="e">
        <f>INDEX(Data!$VM$27:$VQ$40,'Cellular Blinds'!AJ54,'Cellular Blinds'!AK54)</f>
        <v>#N/A</v>
      </c>
      <c r="AM54" s="239" t="e">
        <f>MATCH(D54, Data!$VL$2:$VL$16,0)</f>
        <v>#N/A</v>
      </c>
      <c r="AN54" s="239" t="e">
        <f>MATCH(E54,Data!$VM$1:$VQ$1,0)</f>
        <v>#N/A</v>
      </c>
      <c r="AO54" s="239" t="e">
        <f>INDEX(Data!$VM$2:$VQ$16,'Cellular Blinds'!AM54,'Cellular Blinds'!AN54)</f>
        <v>#N/A</v>
      </c>
      <c r="AP54" s="33" t="e">
        <f>VLOOKUP(P54,Data!$UW$14:$UX$28,2,FALSE)</f>
        <v>#N/A</v>
      </c>
      <c r="AQ54" s="239" t="e">
        <f>MATCH(E54, Data!$XS$2:$XS$6,0)</f>
        <v>#N/A</v>
      </c>
      <c r="AR54" s="239" t="e">
        <f>MATCH(F54,Data!$XT$1:$YR$1,0)</f>
        <v>#N/A</v>
      </c>
      <c r="AS54" s="239" t="e">
        <f>INDEX(Data!$XT$2:$YR$6,'Cellular Blinds'!AQ54,'Cellular Blinds'!AR54)</f>
        <v>#N/A</v>
      </c>
      <c r="AT54" s="239" t="b">
        <f>IF(D54=Data!$YU$2,Data!$YV$1,IF(D54=Data!$YU$3,Data!$YW$1,IF(D54=Data!$YU$4,Data!$YX$1,IF(D54=Data!$YU$5,Data!$YY$1,IF(D54=Data!$YU$6,Data!$YZ$1,IF(D54=Data!$YU$7,Data!$ZA$1,IF(D54=Data!$YU$8,Data!$ZB$1,IF(D54=Data!$YU$9,Data!$ZC$1,IF(D54=Data!$YU$10,Data!$ZD$1,IF(D54=Data!$YU$11,Data!$ZE$1,IF(D54=Data!$YU$12,Data!$ZE$1,IF(D54=Data!$YU$13,Data!$ZE$1,IF(D54=Data!$YU$14,Data!$ZG$11,IF(D54=Data!$YU$15,Data!$ZF$11))))))))))))))</f>
        <v>0</v>
      </c>
      <c r="AU54" s="239" t="str">
        <f>IF(D54="","",IF(E54=Data!$ZI$2,VLOOKUP(D54,Data!$ZK$2:$ZL$15,2,FALSE),IF(E54=Data!$ZI$1,VLOOKUP(D54,Data!$ZQ$2:$ZR$13,2,FALSE),IF(E54=Data!$ZI$3,VLOOKUP(D54,Data!$ZW$2:$ZX$13,2,FALSE),IF(E54=Data!$ZI$4,VLOOKUP(D54,Data!$AAC$2:$AAD$13,2,FALSE),IF(E54=Data!$ZI$5,VLOOKUP(D54,Data!$AAC$26:$AAD$37,2,FALSE)))))))</f>
        <v/>
      </c>
      <c r="AV54" s="251" t="str">
        <f t="shared" si="12"/>
        <v/>
      </c>
      <c r="AW54" s="251" t="str">
        <f t="shared" si="13"/>
        <v/>
      </c>
      <c r="AX54" s="239" t="str">
        <f t="shared" si="14"/>
        <v/>
      </c>
      <c r="BA54" s="33" t="str">
        <f t="shared" si="15"/>
        <v>FittingBoth</v>
      </c>
      <c r="BN54" s="476" t="str">
        <f t="shared" si="35"/>
        <v>UChannelNA</v>
      </c>
      <c r="BO54" s="476" t="e">
        <f t="shared" si="16"/>
        <v>#N/A</v>
      </c>
      <c r="BP54" s="476" t="str">
        <f t="shared" si="17"/>
        <v>No</v>
      </c>
      <c r="BQ54" s="476" t="str">
        <f t="shared" si="18"/>
        <v>No</v>
      </c>
      <c r="BR54" s="476" t="e">
        <f t="shared" si="36"/>
        <v>#N/A</v>
      </c>
      <c r="BU54" s="172">
        <f t="shared" si="19"/>
        <v>2</v>
      </c>
      <c r="CB54" s="33" t="e">
        <f t="shared" si="37"/>
        <v>#N/A</v>
      </c>
      <c r="CC54" s="172" t="b">
        <f t="shared" si="38"/>
        <v>0</v>
      </c>
      <c r="CD54" s="172">
        <f t="shared" si="39"/>
        <v>0</v>
      </c>
      <c r="CE54" s="172">
        <f t="shared" si="40"/>
        <v>0</v>
      </c>
      <c r="CF54" s="172">
        <f t="shared" si="41"/>
        <v>0</v>
      </c>
      <c r="CG54" s="172">
        <f t="shared" si="42"/>
        <v>0</v>
      </c>
      <c r="CL54" s="239" t="str">
        <f>IF(D54="","",IF(E54=Data!$ZI$2,VLOOKUP(D54,Data!$ZK$2:$ZP$15,3,FALSE),IF(E54=Data!$ZI$1,VLOOKUP(D54,Data!$ZQ$2:$ZS$13,3,FALSE),IF(E54=Data!$ZI$3,VLOOKUP(D54,Data!$ZW$2:$AAB$13,3,FALSE),IF(E54=Data!$ZI$4,VLOOKUP(D54,Data!$AAC$2:$AAI$13,3,FALSE),IF(E54=Data!$ZI$5,VLOOKUP(D54,Data!$AAC$26:$AAI$37,3,FALSE)))))))</f>
        <v/>
      </c>
      <c r="CM54" s="251">
        <f t="shared" si="20"/>
        <v>0</v>
      </c>
      <c r="CN54" s="251" t="e">
        <f t="shared" si="21"/>
        <v>#VALUE!</v>
      </c>
      <c r="CO54" s="239" t="e">
        <f t="shared" si="22"/>
        <v>#VALUE!</v>
      </c>
      <c r="CP54" s="239" t="str">
        <f>IF(D54="","",IF(E54=Data!$ZI$2,VLOOKUP(D54,Data!$ZK$2:$ZN$15,4,FALSE),IF(E54=Data!$ZI$1,VLOOKUP(D54,Data!$ZQ$2:$ZT$13,4,FALSE),IF(E54=Data!$ZI$3,VLOOKUP(D54,Data!$ZW$2:$AAC$13,4,FALSE),IF(E54=Data!$ZI$4,VLOOKUP(D54,Data!$AAC$2:$AAJ$13,4,FALSE),IF(E54=Data!$ZI$5,VLOOKUP(D54,Data!$AAC$26:$AAJ$37,4,FALSE)))))))</f>
        <v/>
      </c>
      <c r="CQ54" s="251">
        <f t="shared" si="23"/>
        <v>0</v>
      </c>
      <c r="CR54" s="251" t="e">
        <f t="shared" si="24"/>
        <v>#VALUE!</v>
      </c>
      <c r="CS54" s="239" t="e">
        <f t="shared" si="25"/>
        <v>#VALUE!</v>
      </c>
      <c r="CT54" s="311">
        <f t="shared" si="26"/>
        <v>0</v>
      </c>
      <c r="CU54" s="239" t="str">
        <f>IF(D54="","",IF(E54=Data!$ZI$2,VLOOKUP(D54,Data!$ZK$2:$ZO$15,5,FALSE),IF(E54=Data!$ZI$1,VLOOKUP(D54,Data!$ZQ$2:$ZU$13,5,FALSE),IF(E54=Data!$ZI$3,VLOOKUP(D54,Data!$ZW$2:$AAD$13,5,FALSE),IF(E54=Data!$ZI$4,VLOOKUP(D54,Data!$AAC$2:$AAK$13,5,FALSE),IF(E54=Data!$ZI$5,VLOOKUP(D54,Data!$AAC$26:$AAK$37,5,FALSE)))))))</f>
        <v/>
      </c>
      <c r="CV54" s="251">
        <f t="shared" si="27"/>
        <v>0</v>
      </c>
      <c r="CW54" s="251" t="e">
        <f t="shared" si="28"/>
        <v>#VALUE!</v>
      </c>
      <c r="CX54" s="239" t="e">
        <f t="shared" si="29"/>
        <v>#VALUE!</v>
      </c>
      <c r="CY54" s="239" t="str">
        <f>IF(D54="","",IF(E54=Data!$ZI$2,VLOOKUP(D54,Data!$ZK$2:$ZP$15,6,FALSE),IF(E54=Data!$ZI$1,VLOOKUP(D54,Data!$ZQ$2:$ZV$13,6,FALSE),IF(E54=Data!$ZI$3,VLOOKUP(D54,Data!$ZW$2:$AAE$13,6,FALSE),IF(E54=Data!$ZI$4,VLOOKUP(D54,Data!$AAC$2:$AAL$13,6,FALSE),IF(E54=Data!$ZI$5,VLOOKUP(D54,Data!$AAC$26:$AAL$37,6,FALSE)))))))</f>
        <v/>
      </c>
      <c r="CZ54" s="251">
        <f t="shared" si="30"/>
        <v>0</v>
      </c>
      <c r="DA54" s="251" t="e">
        <f t="shared" si="31"/>
        <v>#VALUE!</v>
      </c>
      <c r="DB54" s="239" t="e">
        <f t="shared" si="32"/>
        <v>#VALUE!</v>
      </c>
      <c r="DC54" s="311">
        <f t="shared" si="33"/>
        <v>0</v>
      </c>
    </row>
    <row r="55" spans="1:107" ht="30" customHeight="1">
      <c r="A55" s="52">
        <v>48</v>
      </c>
      <c r="B55" s="13"/>
      <c r="C55" s="13"/>
      <c r="D55" s="13"/>
      <c r="E55" s="235"/>
      <c r="F55" s="235"/>
      <c r="G55" s="235"/>
      <c r="H55" s="235"/>
      <c r="I55" s="14"/>
      <c r="J55" s="14"/>
      <c r="K55" s="14"/>
      <c r="L55" s="14"/>
      <c r="M55" s="525"/>
      <c r="N55" s="526"/>
      <c r="O55" s="15"/>
      <c r="P55" s="15"/>
      <c r="Q55" s="15"/>
      <c r="R55" s="15"/>
      <c r="S55" s="15"/>
      <c r="T55" s="13" t="str">
        <f t="shared" si="9"/>
        <v/>
      </c>
      <c r="U55" s="253" t="str">
        <f t="shared" si="10"/>
        <v/>
      </c>
      <c r="V55" s="471"/>
      <c r="W55" s="482" t="b">
        <f t="shared" si="11"/>
        <v>0</v>
      </c>
      <c r="X55" s="230"/>
      <c r="Y55" s="253"/>
      <c r="AA55" s="33" t="str">
        <f>IF(SUM(--ISNUMBER(SEARCH({"Skylight"}, D55))),Data!$AJ$19,Data!$AJ$1)</f>
        <v>WindowType</v>
      </c>
      <c r="AB55" s="33" t="str">
        <f t="shared" si="34"/>
        <v>OK</v>
      </c>
      <c r="AE55" s="239" t="e">
        <f>MATCH(E55, Data!$TB$2:$TB$6,0)</f>
        <v>#N/A</v>
      </c>
      <c r="AF55" s="239" t="e">
        <f>MATCH(F55,Data!$TC$1:$UB$1,0)</f>
        <v>#N/A</v>
      </c>
      <c r="AG55" s="239" t="e">
        <f>INDEX(Data!$TC$2:$UB$6,'Cellular Blinds'!AE55,'Cellular Blinds'!AF55)</f>
        <v>#N/A</v>
      </c>
      <c r="AH55" s="33" t="e">
        <f>VLOOKUP(D55,Data!$RU$2:$RV$15,2,FALSE)</f>
        <v>#N/A</v>
      </c>
      <c r="AI55" s="33" t="b">
        <f>IF(D55=Data!$UT$2,Data!$UU$1,IF(D55=Data!$UT$3,Data!$UV$1,IF(D55=Data!$UT$4,Data!$UW$1,IF(D55=Data!$UT$5,Data!$UX$1,IF(D55=Data!$UT$6,Data!$UY$1,IF(D55=Data!$UT$7,Data!$UZ$1,IF(D55=Data!$UT$8,Data!$VA$1,IF(D55=Data!$UT$9,Data!$VB$1,IF(D55=Data!$UT$10,Data!$VC$1,IF(D55=Data!$UT$11,Data!$VD$1,IF(D55=Data!$UT$12,Data!$VD$22,IF(D55=Data!$UT$13,Data!$VD$22,IF(D55=Data!$UT$14,Data!$UU$13,IF(D55=Data!$UT$15,Data!$UV$13))))))))))))))</f>
        <v>0</v>
      </c>
      <c r="AJ55" s="239" t="e">
        <f>MATCH(D55,Data!$VL$27:$VL$40,0)</f>
        <v>#N/A</v>
      </c>
      <c r="AK55" s="239" t="e">
        <f>MATCH(E55,Data!$VM$26:$VQ$26,0)</f>
        <v>#N/A</v>
      </c>
      <c r="AL55" s="239" t="e">
        <f>INDEX(Data!$VM$27:$VQ$40,'Cellular Blinds'!AJ55,'Cellular Blinds'!AK55)</f>
        <v>#N/A</v>
      </c>
      <c r="AM55" s="239" t="e">
        <f>MATCH(D55, Data!$VL$2:$VL$16,0)</f>
        <v>#N/A</v>
      </c>
      <c r="AN55" s="239" t="e">
        <f>MATCH(E55,Data!$VM$1:$VQ$1,0)</f>
        <v>#N/A</v>
      </c>
      <c r="AO55" s="239" t="e">
        <f>INDEX(Data!$VM$2:$VQ$16,'Cellular Blinds'!AM55,'Cellular Blinds'!AN55)</f>
        <v>#N/A</v>
      </c>
      <c r="AP55" s="33" t="e">
        <f>VLOOKUP(P55,Data!$UW$14:$UX$28,2,FALSE)</f>
        <v>#N/A</v>
      </c>
      <c r="AQ55" s="239" t="e">
        <f>MATCH(E55, Data!$XS$2:$XS$6,0)</f>
        <v>#N/A</v>
      </c>
      <c r="AR55" s="239" t="e">
        <f>MATCH(F55,Data!$XT$1:$YR$1,0)</f>
        <v>#N/A</v>
      </c>
      <c r="AS55" s="239" t="e">
        <f>INDEX(Data!$XT$2:$YR$6,'Cellular Blinds'!AQ55,'Cellular Blinds'!AR55)</f>
        <v>#N/A</v>
      </c>
      <c r="AT55" s="239" t="b">
        <f>IF(D55=Data!$YU$2,Data!$YV$1,IF(D55=Data!$YU$3,Data!$YW$1,IF(D55=Data!$YU$4,Data!$YX$1,IF(D55=Data!$YU$5,Data!$YY$1,IF(D55=Data!$YU$6,Data!$YZ$1,IF(D55=Data!$YU$7,Data!$ZA$1,IF(D55=Data!$YU$8,Data!$ZB$1,IF(D55=Data!$YU$9,Data!$ZC$1,IF(D55=Data!$YU$10,Data!$ZD$1,IF(D55=Data!$YU$11,Data!$ZE$1,IF(D55=Data!$YU$12,Data!$ZE$1,IF(D55=Data!$YU$13,Data!$ZE$1,IF(D55=Data!$YU$14,Data!$ZG$11,IF(D55=Data!$YU$15,Data!$ZF$11))))))))))))))</f>
        <v>0</v>
      </c>
      <c r="AU55" s="239" t="str">
        <f>IF(D55="","",IF(E55=Data!$ZI$2,VLOOKUP(D55,Data!$ZK$2:$ZL$15,2,FALSE),IF(E55=Data!$ZI$1,VLOOKUP(D55,Data!$ZQ$2:$ZR$13,2,FALSE),IF(E55=Data!$ZI$3,VLOOKUP(D55,Data!$ZW$2:$ZX$13,2,FALSE),IF(E55=Data!$ZI$4,VLOOKUP(D55,Data!$AAC$2:$AAD$13,2,FALSE),IF(E55=Data!$ZI$5,VLOOKUP(D55,Data!$AAC$26:$AAD$37,2,FALSE)))))))</f>
        <v/>
      </c>
      <c r="AV55" s="251" t="str">
        <f t="shared" si="12"/>
        <v/>
      </c>
      <c r="AW55" s="251" t="str">
        <f t="shared" si="13"/>
        <v/>
      </c>
      <c r="AX55" s="239" t="str">
        <f t="shared" si="14"/>
        <v/>
      </c>
      <c r="BA55" s="33" t="str">
        <f t="shared" si="15"/>
        <v>FittingBoth</v>
      </c>
      <c r="BN55" s="476" t="str">
        <f t="shared" si="35"/>
        <v>UChannelNA</v>
      </c>
      <c r="BO55" s="476" t="e">
        <f t="shared" si="16"/>
        <v>#N/A</v>
      </c>
      <c r="BP55" s="476" t="str">
        <f t="shared" si="17"/>
        <v>No</v>
      </c>
      <c r="BQ55" s="476" t="str">
        <f t="shared" si="18"/>
        <v>No</v>
      </c>
      <c r="BR55" s="476" t="e">
        <f t="shared" si="36"/>
        <v>#N/A</v>
      </c>
      <c r="BU55" s="172">
        <f t="shared" si="19"/>
        <v>2</v>
      </c>
      <c r="CB55" s="33" t="e">
        <f t="shared" si="37"/>
        <v>#N/A</v>
      </c>
      <c r="CC55" s="172" t="b">
        <f t="shared" si="38"/>
        <v>0</v>
      </c>
      <c r="CD55" s="172">
        <f t="shared" si="39"/>
        <v>0</v>
      </c>
      <c r="CE55" s="172">
        <f t="shared" si="40"/>
        <v>0</v>
      </c>
      <c r="CF55" s="172">
        <f t="shared" si="41"/>
        <v>0</v>
      </c>
      <c r="CG55" s="172">
        <f t="shared" si="42"/>
        <v>0</v>
      </c>
      <c r="CL55" s="239" t="str">
        <f>IF(D55="","",IF(E55=Data!$ZI$2,VLOOKUP(D55,Data!$ZK$2:$ZP$15,3,FALSE),IF(E55=Data!$ZI$1,VLOOKUP(D55,Data!$ZQ$2:$ZS$13,3,FALSE),IF(E55=Data!$ZI$3,VLOOKUP(D55,Data!$ZW$2:$AAB$13,3,FALSE),IF(E55=Data!$ZI$4,VLOOKUP(D55,Data!$AAC$2:$AAI$13,3,FALSE),IF(E55=Data!$ZI$5,VLOOKUP(D55,Data!$AAC$26:$AAI$37,3,FALSE)))))))</f>
        <v/>
      </c>
      <c r="CM55" s="251">
        <f t="shared" si="20"/>
        <v>0</v>
      </c>
      <c r="CN55" s="251" t="e">
        <f t="shared" si="21"/>
        <v>#VALUE!</v>
      </c>
      <c r="CO55" s="239" t="e">
        <f t="shared" si="22"/>
        <v>#VALUE!</v>
      </c>
      <c r="CP55" s="239" t="str">
        <f>IF(D55="","",IF(E55=Data!$ZI$2,VLOOKUP(D55,Data!$ZK$2:$ZN$15,4,FALSE),IF(E55=Data!$ZI$1,VLOOKUP(D55,Data!$ZQ$2:$ZT$13,4,FALSE),IF(E55=Data!$ZI$3,VLOOKUP(D55,Data!$ZW$2:$AAC$13,4,FALSE),IF(E55=Data!$ZI$4,VLOOKUP(D55,Data!$AAC$2:$AAJ$13,4,FALSE),IF(E55=Data!$ZI$5,VLOOKUP(D55,Data!$AAC$26:$AAJ$37,4,FALSE)))))))</f>
        <v/>
      </c>
      <c r="CQ55" s="251">
        <f t="shared" si="23"/>
        <v>0</v>
      </c>
      <c r="CR55" s="251" t="e">
        <f t="shared" si="24"/>
        <v>#VALUE!</v>
      </c>
      <c r="CS55" s="239" t="e">
        <f t="shared" si="25"/>
        <v>#VALUE!</v>
      </c>
      <c r="CT55" s="311">
        <f t="shared" si="26"/>
        <v>0</v>
      </c>
      <c r="CU55" s="239" t="str">
        <f>IF(D55="","",IF(E55=Data!$ZI$2,VLOOKUP(D55,Data!$ZK$2:$ZO$15,5,FALSE),IF(E55=Data!$ZI$1,VLOOKUP(D55,Data!$ZQ$2:$ZU$13,5,FALSE),IF(E55=Data!$ZI$3,VLOOKUP(D55,Data!$ZW$2:$AAD$13,5,FALSE),IF(E55=Data!$ZI$4,VLOOKUP(D55,Data!$AAC$2:$AAK$13,5,FALSE),IF(E55=Data!$ZI$5,VLOOKUP(D55,Data!$AAC$26:$AAK$37,5,FALSE)))))))</f>
        <v/>
      </c>
      <c r="CV55" s="251">
        <f t="shared" si="27"/>
        <v>0</v>
      </c>
      <c r="CW55" s="251" t="e">
        <f t="shared" si="28"/>
        <v>#VALUE!</v>
      </c>
      <c r="CX55" s="239" t="e">
        <f t="shared" si="29"/>
        <v>#VALUE!</v>
      </c>
      <c r="CY55" s="239" t="str">
        <f>IF(D55="","",IF(E55=Data!$ZI$2,VLOOKUP(D55,Data!$ZK$2:$ZP$15,6,FALSE),IF(E55=Data!$ZI$1,VLOOKUP(D55,Data!$ZQ$2:$ZV$13,6,FALSE),IF(E55=Data!$ZI$3,VLOOKUP(D55,Data!$ZW$2:$AAE$13,6,FALSE),IF(E55=Data!$ZI$4,VLOOKUP(D55,Data!$AAC$2:$AAL$13,6,FALSE),IF(E55=Data!$ZI$5,VLOOKUP(D55,Data!$AAC$26:$AAL$37,6,FALSE)))))))</f>
        <v/>
      </c>
      <c r="CZ55" s="251">
        <f t="shared" si="30"/>
        <v>0</v>
      </c>
      <c r="DA55" s="251" t="e">
        <f t="shared" si="31"/>
        <v>#VALUE!</v>
      </c>
      <c r="DB55" s="239" t="e">
        <f t="shared" si="32"/>
        <v>#VALUE!</v>
      </c>
      <c r="DC55" s="311">
        <f t="shared" si="33"/>
        <v>0</v>
      </c>
    </row>
    <row r="56" spans="1:107" ht="30" customHeight="1">
      <c r="A56" s="52">
        <v>49</v>
      </c>
      <c r="B56" s="13"/>
      <c r="C56" s="13"/>
      <c r="D56" s="13"/>
      <c r="E56" s="235"/>
      <c r="F56" s="235"/>
      <c r="G56" s="235"/>
      <c r="H56" s="235"/>
      <c r="I56" s="14"/>
      <c r="J56" s="14"/>
      <c r="K56" s="14"/>
      <c r="L56" s="14"/>
      <c r="M56" s="525"/>
      <c r="N56" s="526"/>
      <c r="O56" s="15"/>
      <c r="P56" s="15"/>
      <c r="Q56" s="15"/>
      <c r="R56" s="15"/>
      <c r="S56" s="15"/>
      <c r="T56" s="13" t="str">
        <f t="shared" si="9"/>
        <v/>
      </c>
      <c r="U56" s="253" t="str">
        <f t="shared" si="10"/>
        <v/>
      </c>
      <c r="V56" s="471"/>
      <c r="W56" s="482" t="b">
        <f t="shared" si="11"/>
        <v>0</v>
      </c>
      <c r="X56" s="230"/>
      <c r="Y56" s="253"/>
      <c r="AA56" s="33" t="str">
        <f>IF(SUM(--ISNUMBER(SEARCH({"Skylight"}, D56))),Data!$AJ$19,Data!$AJ$1)</f>
        <v>WindowType</v>
      </c>
      <c r="AB56" s="33" t="str">
        <f t="shared" si="34"/>
        <v>OK</v>
      </c>
      <c r="AE56" s="239" t="e">
        <f>MATCH(E56, Data!$TB$2:$TB$6,0)</f>
        <v>#N/A</v>
      </c>
      <c r="AF56" s="239" t="e">
        <f>MATCH(F56,Data!$TC$1:$UB$1,0)</f>
        <v>#N/A</v>
      </c>
      <c r="AG56" s="239" t="e">
        <f>INDEX(Data!$TC$2:$UB$6,'Cellular Blinds'!AE56,'Cellular Blinds'!AF56)</f>
        <v>#N/A</v>
      </c>
      <c r="AH56" s="33" t="e">
        <f>VLOOKUP(D56,Data!$RU$2:$RV$15,2,FALSE)</f>
        <v>#N/A</v>
      </c>
      <c r="AI56" s="33" t="b">
        <f>IF(D56=Data!$UT$2,Data!$UU$1,IF(D56=Data!$UT$3,Data!$UV$1,IF(D56=Data!$UT$4,Data!$UW$1,IF(D56=Data!$UT$5,Data!$UX$1,IF(D56=Data!$UT$6,Data!$UY$1,IF(D56=Data!$UT$7,Data!$UZ$1,IF(D56=Data!$UT$8,Data!$VA$1,IF(D56=Data!$UT$9,Data!$VB$1,IF(D56=Data!$UT$10,Data!$VC$1,IF(D56=Data!$UT$11,Data!$VD$1,IF(D56=Data!$UT$12,Data!$VD$22,IF(D56=Data!$UT$13,Data!$VD$22,IF(D56=Data!$UT$14,Data!$UU$13,IF(D56=Data!$UT$15,Data!$UV$13))))))))))))))</f>
        <v>0</v>
      </c>
      <c r="AJ56" s="239" t="e">
        <f>MATCH(D56,Data!$VL$27:$VL$40,0)</f>
        <v>#N/A</v>
      </c>
      <c r="AK56" s="239" t="e">
        <f>MATCH(E56,Data!$VM$26:$VQ$26,0)</f>
        <v>#N/A</v>
      </c>
      <c r="AL56" s="239" t="e">
        <f>INDEX(Data!$VM$27:$VQ$40,'Cellular Blinds'!AJ56,'Cellular Blinds'!AK56)</f>
        <v>#N/A</v>
      </c>
      <c r="AM56" s="239" t="e">
        <f>MATCH(D56, Data!$VL$2:$VL$16,0)</f>
        <v>#N/A</v>
      </c>
      <c r="AN56" s="239" t="e">
        <f>MATCH(E56,Data!$VM$1:$VQ$1,0)</f>
        <v>#N/A</v>
      </c>
      <c r="AO56" s="239" t="e">
        <f>INDEX(Data!$VM$2:$VQ$16,'Cellular Blinds'!AM56,'Cellular Blinds'!AN56)</f>
        <v>#N/A</v>
      </c>
      <c r="AP56" s="33" t="e">
        <f>VLOOKUP(P56,Data!$UW$14:$UX$28,2,FALSE)</f>
        <v>#N/A</v>
      </c>
      <c r="AQ56" s="239" t="e">
        <f>MATCH(E56, Data!$XS$2:$XS$6,0)</f>
        <v>#N/A</v>
      </c>
      <c r="AR56" s="239" t="e">
        <f>MATCH(F56,Data!$XT$1:$YR$1,0)</f>
        <v>#N/A</v>
      </c>
      <c r="AS56" s="239" t="e">
        <f>INDEX(Data!$XT$2:$YR$6,'Cellular Blinds'!AQ56,'Cellular Blinds'!AR56)</f>
        <v>#N/A</v>
      </c>
      <c r="AT56" s="239" t="b">
        <f>IF(D56=Data!$YU$2,Data!$YV$1,IF(D56=Data!$YU$3,Data!$YW$1,IF(D56=Data!$YU$4,Data!$YX$1,IF(D56=Data!$YU$5,Data!$YY$1,IF(D56=Data!$YU$6,Data!$YZ$1,IF(D56=Data!$YU$7,Data!$ZA$1,IF(D56=Data!$YU$8,Data!$ZB$1,IF(D56=Data!$YU$9,Data!$ZC$1,IF(D56=Data!$YU$10,Data!$ZD$1,IF(D56=Data!$YU$11,Data!$ZE$1,IF(D56=Data!$YU$12,Data!$ZE$1,IF(D56=Data!$YU$13,Data!$ZE$1,IF(D56=Data!$YU$14,Data!$ZG$11,IF(D56=Data!$YU$15,Data!$ZF$11))))))))))))))</f>
        <v>0</v>
      </c>
      <c r="AU56" s="239" t="str">
        <f>IF(D56="","",IF(E56=Data!$ZI$2,VLOOKUP(D56,Data!$ZK$2:$ZL$15,2,FALSE),IF(E56=Data!$ZI$1,VLOOKUP(D56,Data!$ZQ$2:$ZR$13,2,FALSE),IF(E56=Data!$ZI$3,VLOOKUP(D56,Data!$ZW$2:$ZX$13,2,FALSE),IF(E56=Data!$ZI$4,VLOOKUP(D56,Data!$AAC$2:$AAD$13,2,FALSE),IF(E56=Data!$ZI$5,VLOOKUP(D56,Data!$AAC$26:$AAD$37,2,FALSE)))))))</f>
        <v/>
      </c>
      <c r="AV56" s="251" t="str">
        <f t="shared" si="12"/>
        <v/>
      </c>
      <c r="AW56" s="251" t="str">
        <f t="shared" si="13"/>
        <v/>
      </c>
      <c r="AX56" s="239" t="str">
        <f t="shared" si="14"/>
        <v/>
      </c>
      <c r="BA56" s="33" t="str">
        <f t="shared" si="15"/>
        <v>FittingBoth</v>
      </c>
      <c r="BN56" s="476" t="str">
        <f t="shared" si="35"/>
        <v>UChannelNA</v>
      </c>
      <c r="BO56" s="476" t="e">
        <f t="shared" si="16"/>
        <v>#N/A</v>
      </c>
      <c r="BP56" s="476" t="str">
        <f t="shared" si="17"/>
        <v>No</v>
      </c>
      <c r="BQ56" s="476" t="str">
        <f t="shared" si="18"/>
        <v>No</v>
      </c>
      <c r="BR56" s="476" t="e">
        <f t="shared" si="36"/>
        <v>#N/A</v>
      </c>
      <c r="BU56" s="172">
        <f t="shared" si="19"/>
        <v>2</v>
      </c>
      <c r="CB56" s="33" t="e">
        <f t="shared" si="37"/>
        <v>#N/A</v>
      </c>
      <c r="CC56" s="172" t="b">
        <f t="shared" si="38"/>
        <v>0</v>
      </c>
      <c r="CD56" s="172">
        <f t="shared" si="39"/>
        <v>0</v>
      </c>
      <c r="CE56" s="172">
        <f t="shared" si="40"/>
        <v>0</v>
      </c>
      <c r="CF56" s="172">
        <f t="shared" si="41"/>
        <v>0</v>
      </c>
      <c r="CG56" s="172">
        <f t="shared" si="42"/>
        <v>0</v>
      </c>
      <c r="CL56" s="239" t="str">
        <f>IF(D56="","",IF(E56=Data!$ZI$2,VLOOKUP(D56,Data!$ZK$2:$ZP$15,3,FALSE),IF(E56=Data!$ZI$1,VLOOKUP(D56,Data!$ZQ$2:$ZS$13,3,FALSE),IF(E56=Data!$ZI$3,VLOOKUP(D56,Data!$ZW$2:$AAB$13,3,FALSE),IF(E56=Data!$ZI$4,VLOOKUP(D56,Data!$AAC$2:$AAI$13,3,FALSE),IF(E56=Data!$ZI$5,VLOOKUP(D56,Data!$AAC$26:$AAI$37,3,FALSE)))))))</f>
        <v/>
      </c>
      <c r="CM56" s="251">
        <f t="shared" si="20"/>
        <v>0</v>
      </c>
      <c r="CN56" s="251" t="e">
        <f t="shared" si="21"/>
        <v>#VALUE!</v>
      </c>
      <c r="CO56" s="239" t="e">
        <f t="shared" si="22"/>
        <v>#VALUE!</v>
      </c>
      <c r="CP56" s="239" t="str">
        <f>IF(D56="","",IF(E56=Data!$ZI$2,VLOOKUP(D56,Data!$ZK$2:$ZN$15,4,FALSE),IF(E56=Data!$ZI$1,VLOOKUP(D56,Data!$ZQ$2:$ZT$13,4,FALSE),IF(E56=Data!$ZI$3,VLOOKUP(D56,Data!$ZW$2:$AAC$13,4,FALSE),IF(E56=Data!$ZI$4,VLOOKUP(D56,Data!$AAC$2:$AAJ$13,4,FALSE),IF(E56=Data!$ZI$5,VLOOKUP(D56,Data!$AAC$26:$AAJ$37,4,FALSE)))))))</f>
        <v/>
      </c>
      <c r="CQ56" s="251">
        <f t="shared" si="23"/>
        <v>0</v>
      </c>
      <c r="CR56" s="251" t="e">
        <f t="shared" si="24"/>
        <v>#VALUE!</v>
      </c>
      <c r="CS56" s="239" t="e">
        <f t="shared" si="25"/>
        <v>#VALUE!</v>
      </c>
      <c r="CT56" s="311">
        <f t="shared" si="26"/>
        <v>0</v>
      </c>
      <c r="CU56" s="239" t="str">
        <f>IF(D56="","",IF(E56=Data!$ZI$2,VLOOKUP(D56,Data!$ZK$2:$ZO$15,5,FALSE),IF(E56=Data!$ZI$1,VLOOKUP(D56,Data!$ZQ$2:$ZU$13,5,FALSE),IF(E56=Data!$ZI$3,VLOOKUP(D56,Data!$ZW$2:$AAD$13,5,FALSE),IF(E56=Data!$ZI$4,VLOOKUP(D56,Data!$AAC$2:$AAK$13,5,FALSE),IF(E56=Data!$ZI$5,VLOOKUP(D56,Data!$AAC$26:$AAK$37,5,FALSE)))))))</f>
        <v/>
      </c>
      <c r="CV56" s="251">
        <f t="shared" si="27"/>
        <v>0</v>
      </c>
      <c r="CW56" s="251" t="e">
        <f t="shared" si="28"/>
        <v>#VALUE!</v>
      </c>
      <c r="CX56" s="239" t="e">
        <f t="shared" si="29"/>
        <v>#VALUE!</v>
      </c>
      <c r="CY56" s="239" t="str">
        <f>IF(D56="","",IF(E56=Data!$ZI$2,VLOOKUP(D56,Data!$ZK$2:$ZP$15,6,FALSE),IF(E56=Data!$ZI$1,VLOOKUP(D56,Data!$ZQ$2:$ZV$13,6,FALSE),IF(E56=Data!$ZI$3,VLOOKUP(D56,Data!$ZW$2:$AAE$13,6,FALSE),IF(E56=Data!$ZI$4,VLOOKUP(D56,Data!$AAC$2:$AAL$13,6,FALSE),IF(E56=Data!$ZI$5,VLOOKUP(D56,Data!$AAC$26:$AAL$37,6,FALSE)))))))</f>
        <v/>
      </c>
      <c r="CZ56" s="251">
        <f t="shared" si="30"/>
        <v>0</v>
      </c>
      <c r="DA56" s="251" t="e">
        <f t="shared" si="31"/>
        <v>#VALUE!</v>
      </c>
      <c r="DB56" s="239" t="e">
        <f t="shared" si="32"/>
        <v>#VALUE!</v>
      </c>
      <c r="DC56" s="311">
        <f t="shared" si="33"/>
        <v>0</v>
      </c>
    </row>
    <row r="57" spans="1:107" ht="30" customHeight="1" thickBot="1">
      <c r="A57" s="53">
        <v>50</v>
      </c>
      <c r="B57" s="21"/>
      <c r="C57" s="21"/>
      <c r="D57" s="21"/>
      <c r="E57" s="236"/>
      <c r="F57" s="236"/>
      <c r="G57" s="236"/>
      <c r="H57" s="236"/>
      <c r="I57" s="14"/>
      <c r="J57" s="14"/>
      <c r="K57" s="22"/>
      <c r="L57" s="22"/>
      <c r="M57" s="528"/>
      <c r="N57" s="529"/>
      <c r="O57" s="44"/>
      <c r="P57" s="44"/>
      <c r="Q57" s="44"/>
      <c r="R57" s="44"/>
      <c r="S57" s="44"/>
      <c r="T57" s="21" t="str">
        <f t="shared" si="9"/>
        <v/>
      </c>
      <c r="U57" s="254" t="str">
        <f t="shared" si="10"/>
        <v/>
      </c>
      <c r="V57" s="472"/>
      <c r="W57" s="482" t="b">
        <f t="shared" si="11"/>
        <v>0</v>
      </c>
      <c r="X57" s="230"/>
      <c r="Y57" s="254"/>
      <c r="AA57" s="33" t="str">
        <f>IF(SUM(--ISNUMBER(SEARCH({"Skylight"}, D57))),Data!$AJ$19,Data!$AJ$1)</f>
        <v>WindowType</v>
      </c>
      <c r="AB57" s="33" t="str">
        <f t="shared" si="34"/>
        <v>OK</v>
      </c>
      <c r="AE57" s="239" t="e">
        <f>MATCH(E57, Data!$TB$2:$TB$6,0)</f>
        <v>#N/A</v>
      </c>
      <c r="AF57" s="239" t="e">
        <f>MATCH(F57,Data!$TC$1:$UB$1,0)</f>
        <v>#N/A</v>
      </c>
      <c r="AG57" s="239" t="e">
        <f>INDEX(Data!$TC$2:$UB$6,'Cellular Blinds'!AE57,'Cellular Blinds'!AF57)</f>
        <v>#N/A</v>
      </c>
      <c r="AH57" s="33" t="e">
        <f>VLOOKUP(D57,Data!$RU$2:$RV$15,2,FALSE)</f>
        <v>#N/A</v>
      </c>
      <c r="AI57" s="33" t="b">
        <f>IF(D57=Data!$UT$2,Data!$UU$1,IF(D57=Data!$UT$3,Data!$UV$1,IF(D57=Data!$UT$4,Data!$UW$1,IF(D57=Data!$UT$5,Data!$UX$1,IF(D57=Data!$UT$6,Data!$UY$1,IF(D57=Data!$UT$7,Data!$UZ$1,IF(D57=Data!$UT$8,Data!$VA$1,IF(D57=Data!$UT$9,Data!$VB$1,IF(D57=Data!$UT$10,Data!$VC$1,IF(D57=Data!$UT$11,Data!$VD$1,IF(D57=Data!$UT$12,Data!$VD$22,IF(D57=Data!$UT$13,Data!$VD$22,IF(D57=Data!$UT$14,Data!$UU$13,IF(D57=Data!$UT$15,Data!$UV$13))))))))))))))</f>
        <v>0</v>
      </c>
      <c r="AJ57" s="239" t="e">
        <f>MATCH(D57,Data!$VL$27:$VL$40,0)</f>
        <v>#N/A</v>
      </c>
      <c r="AK57" s="239" t="e">
        <f>MATCH(E57,Data!$VM$26:$VQ$26,0)</f>
        <v>#N/A</v>
      </c>
      <c r="AL57" s="239" t="e">
        <f>INDEX(Data!$VM$27:$VQ$40,'Cellular Blinds'!AJ57,'Cellular Blinds'!AK57)</f>
        <v>#N/A</v>
      </c>
      <c r="AM57" s="239" t="e">
        <f>MATCH(D57, Data!$VL$2:$VL$16,0)</f>
        <v>#N/A</v>
      </c>
      <c r="AN57" s="239" t="e">
        <f>MATCH(E57,Data!$VM$1:$VQ$1,0)</f>
        <v>#N/A</v>
      </c>
      <c r="AO57" s="239" t="e">
        <f>INDEX(Data!$VM$2:$VQ$16,'Cellular Blinds'!AM57,'Cellular Blinds'!AN57)</f>
        <v>#N/A</v>
      </c>
      <c r="AP57" s="33" t="e">
        <f>VLOOKUP(P57,Data!$UW$14:$UX$28,2,FALSE)</f>
        <v>#N/A</v>
      </c>
      <c r="AQ57" s="239" t="e">
        <f>MATCH(E57, Data!$XS$2:$XS$6,0)</f>
        <v>#N/A</v>
      </c>
      <c r="AR57" s="239" t="e">
        <f>MATCH(F57,Data!$XT$1:$YR$1,0)</f>
        <v>#N/A</v>
      </c>
      <c r="AS57" s="239" t="e">
        <f>INDEX(Data!$XT$2:$YR$6,'Cellular Blinds'!AQ57,'Cellular Blinds'!AR57)</f>
        <v>#N/A</v>
      </c>
      <c r="AT57" s="239" t="b">
        <f>IF(D57=Data!$YU$2,Data!$YV$1,IF(D57=Data!$YU$3,Data!$YW$1,IF(D57=Data!$YU$4,Data!$YX$1,IF(D57=Data!$YU$5,Data!$YY$1,IF(D57=Data!$YU$6,Data!$YZ$1,IF(D57=Data!$YU$7,Data!$ZA$1,IF(D57=Data!$YU$8,Data!$ZB$1,IF(D57=Data!$YU$9,Data!$ZC$1,IF(D57=Data!$YU$10,Data!$ZD$1,IF(D57=Data!$YU$11,Data!$ZE$1,IF(D57=Data!$YU$12,Data!$ZE$1,IF(D57=Data!$YU$13,Data!$ZE$1,IF(D57=Data!$YU$14,Data!$ZG$11,IF(D57=Data!$YU$15,Data!$ZF$11))))))))))))))</f>
        <v>0</v>
      </c>
      <c r="AU57" s="239" t="str">
        <f>IF(D57="","",IF(E57=Data!$ZI$2,VLOOKUP(D57,Data!$ZK$2:$ZL$15,2,FALSE),IF(E57=Data!$ZI$1,VLOOKUP(D57,Data!$ZQ$2:$ZR$13,2,FALSE),IF(E57=Data!$ZI$3,VLOOKUP(D57,Data!$ZW$2:$ZX$13,2,FALSE),IF(E57=Data!$ZI$4,VLOOKUP(D57,Data!$AAC$2:$AAD$13,2,FALSE),IF(E57=Data!$ZI$5,VLOOKUP(D57,Data!$AAC$26:$AAD$37,2,FALSE)))))))</f>
        <v/>
      </c>
      <c r="AV57" s="251" t="str">
        <f t="shared" si="12"/>
        <v/>
      </c>
      <c r="AW57" s="251" t="str">
        <f t="shared" si="13"/>
        <v/>
      </c>
      <c r="AX57" s="239" t="str">
        <f t="shared" si="14"/>
        <v/>
      </c>
      <c r="BA57" s="33" t="str">
        <f t="shared" si="15"/>
        <v>FittingBoth</v>
      </c>
      <c r="BN57" s="476" t="str">
        <f t="shared" si="35"/>
        <v>UChannelNA</v>
      </c>
      <c r="BO57" s="476" t="e">
        <f t="shared" si="16"/>
        <v>#N/A</v>
      </c>
      <c r="BP57" s="476" t="str">
        <f t="shared" si="17"/>
        <v>No</v>
      </c>
      <c r="BQ57" s="476" t="str">
        <f t="shared" si="18"/>
        <v>No</v>
      </c>
      <c r="BR57" s="476" t="e">
        <f t="shared" si="36"/>
        <v>#N/A</v>
      </c>
      <c r="BU57" s="172">
        <f t="shared" si="19"/>
        <v>2</v>
      </c>
      <c r="CB57" s="33" t="e">
        <f t="shared" si="37"/>
        <v>#N/A</v>
      </c>
      <c r="CC57" s="172" t="b">
        <f t="shared" si="38"/>
        <v>0</v>
      </c>
      <c r="CD57" s="172">
        <f t="shared" si="39"/>
        <v>0</v>
      </c>
      <c r="CE57" s="172">
        <f t="shared" si="40"/>
        <v>0</v>
      </c>
      <c r="CF57" s="172">
        <f t="shared" si="41"/>
        <v>0</v>
      </c>
      <c r="CG57" s="172">
        <f t="shared" si="42"/>
        <v>0</v>
      </c>
      <c r="CL57" s="239" t="str">
        <f>IF(D57="","",IF(E57=Data!$ZI$2,VLOOKUP(D57,Data!$ZK$2:$ZP$15,3,FALSE),IF(E57=Data!$ZI$1,VLOOKUP(D57,Data!$ZQ$2:$ZS$13,3,FALSE),IF(E57=Data!$ZI$3,VLOOKUP(D57,Data!$ZW$2:$AAB$13,3,FALSE),IF(E57=Data!$ZI$4,VLOOKUP(D57,Data!$AAC$2:$AAI$13,3,FALSE),IF(E57=Data!$ZI$5,VLOOKUP(D57,Data!$AAC$26:$AAI$37,3,FALSE)))))))</f>
        <v/>
      </c>
      <c r="CM57" s="251">
        <f t="shared" si="20"/>
        <v>0</v>
      </c>
      <c r="CN57" s="251" t="e">
        <f t="shared" si="21"/>
        <v>#VALUE!</v>
      </c>
      <c r="CO57" s="239" t="e">
        <f t="shared" si="22"/>
        <v>#VALUE!</v>
      </c>
      <c r="CP57" s="239" t="str">
        <f>IF(D57="","",IF(E57=Data!$ZI$2,VLOOKUP(D57,Data!$ZK$2:$ZN$15,4,FALSE),IF(E57=Data!$ZI$1,VLOOKUP(D57,Data!$ZQ$2:$ZT$13,4,FALSE),IF(E57=Data!$ZI$3,VLOOKUP(D57,Data!$ZW$2:$AAC$13,4,FALSE),IF(E57=Data!$ZI$4,VLOOKUP(D57,Data!$AAC$2:$AAJ$13,4,FALSE),IF(E57=Data!$ZI$5,VLOOKUP(D57,Data!$AAC$26:$AAJ$37,4,FALSE)))))))</f>
        <v/>
      </c>
      <c r="CQ57" s="251">
        <f t="shared" si="23"/>
        <v>0</v>
      </c>
      <c r="CR57" s="251" t="e">
        <f t="shared" si="24"/>
        <v>#VALUE!</v>
      </c>
      <c r="CS57" s="239" t="e">
        <f t="shared" si="25"/>
        <v>#VALUE!</v>
      </c>
      <c r="CT57" s="311">
        <f t="shared" si="26"/>
        <v>0</v>
      </c>
      <c r="CU57" s="239" t="str">
        <f>IF(D57="","",IF(E57=Data!$ZI$2,VLOOKUP(D57,Data!$ZK$2:$ZO$15,5,FALSE),IF(E57=Data!$ZI$1,VLOOKUP(D57,Data!$ZQ$2:$ZU$13,5,FALSE),IF(E57=Data!$ZI$3,VLOOKUP(D57,Data!$ZW$2:$AAD$13,5,FALSE),IF(E57=Data!$ZI$4,VLOOKUP(D57,Data!$AAC$2:$AAK$13,5,FALSE),IF(E57=Data!$ZI$5,VLOOKUP(D57,Data!$AAC$26:$AAK$37,5,FALSE)))))))</f>
        <v/>
      </c>
      <c r="CV57" s="251">
        <f t="shared" si="27"/>
        <v>0</v>
      </c>
      <c r="CW57" s="251" t="e">
        <f t="shared" si="28"/>
        <v>#VALUE!</v>
      </c>
      <c r="CX57" s="239" t="e">
        <f t="shared" si="29"/>
        <v>#VALUE!</v>
      </c>
      <c r="CY57" s="239" t="str">
        <f>IF(D57="","",IF(E57=Data!$ZI$2,VLOOKUP(D57,Data!$ZK$2:$ZP$15,6,FALSE),IF(E57=Data!$ZI$1,VLOOKUP(D57,Data!$ZQ$2:$ZV$13,6,FALSE),IF(E57=Data!$ZI$3,VLOOKUP(D57,Data!$ZW$2:$AAE$13,6,FALSE),IF(E57=Data!$ZI$4,VLOOKUP(D57,Data!$AAC$2:$AAL$13,6,FALSE),IF(E57=Data!$ZI$5,VLOOKUP(D57,Data!$AAC$26:$AAL$37,6,FALSE)))))))</f>
        <v/>
      </c>
      <c r="CZ57" s="251">
        <f t="shared" si="30"/>
        <v>0</v>
      </c>
      <c r="DA57" s="251" t="e">
        <f t="shared" si="31"/>
        <v>#VALUE!</v>
      </c>
      <c r="DB57" s="239" t="e">
        <f t="shared" si="32"/>
        <v>#VALUE!</v>
      </c>
      <c r="DC57" s="311">
        <f t="shared" si="33"/>
        <v>0</v>
      </c>
    </row>
    <row r="58" spans="1:107" ht="15.75" thickTop="1">
      <c r="AO58" s="239"/>
      <c r="BN58" s="476" t="str">
        <f t="shared" si="35"/>
        <v>UChannelNA</v>
      </c>
      <c r="BO58" s="476" t="e">
        <f t="shared" si="16"/>
        <v>#N/A</v>
      </c>
      <c r="BP58" s="476" t="str">
        <f t="shared" si="17"/>
        <v>No</v>
      </c>
      <c r="BQ58" s="476" t="str">
        <f t="shared" si="18"/>
        <v>No</v>
      </c>
      <c r="BR58" s="476" t="e">
        <f t="shared" si="36"/>
        <v>#N/A</v>
      </c>
      <c r="BU58" s="172">
        <f t="shared" si="19"/>
        <v>2</v>
      </c>
      <c r="CC58" s="172" t="s">
        <v>2315</v>
      </c>
      <c r="CD58" s="473">
        <f>SUM(CD8:CD57)</f>
        <v>0</v>
      </c>
      <c r="CE58" s="473">
        <f t="shared" ref="CE58:CG58" si="43">SUM(CE8:CE57)</f>
        <v>0</v>
      </c>
      <c r="CF58" s="473">
        <f t="shared" si="43"/>
        <v>0</v>
      </c>
      <c r="CG58" s="473">
        <f t="shared" si="43"/>
        <v>0</v>
      </c>
      <c r="CL58" s="239"/>
      <c r="CM58" s="251"/>
      <c r="CN58" s="251"/>
      <c r="CO58" s="239"/>
    </row>
  </sheetData>
  <sheetProtection algorithmName="SHA-512" hashValue="k5DsZYFOVUuQw+BOMoI3gOAz1cZOBdG5S66EskohYGcDG0mutr/dQ8i8CAaLu9R21rrMvyrNlURHyHXJERwnTw==" saltValue="ogxr8hPPS/UVN5EhAOlpHg==" spinCount="100000" sheet="1" objects="1" scenarios="1"/>
  <sortState xmlns:xlrd2="http://schemas.microsoft.com/office/spreadsheetml/2017/richdata2" ref="BZ8:BZ11">
    <sortCondition ref="BZ8:BZ11"/>
  </sortState>
  <mergeCells count="65">
    <mergeCell ref="A1:D3"/>
    <mergeCell ref="AQ6:AS6"/>
    <mergeCell ref="X1:X2"/>
    <mergeCell ref="I1:U1"/>
    <mergeCell ref="E2:F2"/>
    <mergeCell ref="X4:X5"/>
    <mergeCell ref="I2:U2"/>
    <mergeCell ref="I3:U3"/>
    <mergeCell ref="E4:F4"/>
    <mergeCell ref="M7:N7"/>
    <mergeCell ref="M8:N8"/>
    <mergeCell ref="M9:N9"/>
    <mergeCell ref="A6:F6"/>
    <mergeCell ref="I4:U4"/>
    <mergeCell ref="I5:U5"/>
    <mergeCell ref="I6:U6"/>
    <mergeCell ref="A4:D4"/>
    <mergeCell ref="M15:N15"/>
    <mergeCell ref="M10:N10"/>
    <mergeCell ref="M11:N11"/>
    <mergeCell ref="M12:N12"/>
    <mergeCell ref="M19:N19"/>
    <mergeCell ref="M13:N13"/>
    <mergeCell ref="M14:N14"/>
    <mergeCell ref="M20:N20"/>
    <mergeCell ref="M21:N21"/>
    <mergeCell ref="M16:N16"/>
    <mergeCell ref="M17:N17"/>
    <mergeCell ref="M18:N18"/>
    <mergeCell ref="M25:N25"/>
    <mergeCell ref="M26:N26"/>
    <mergeCell ref="M27:N27"/>
    <mergeCell ref="M22:N22"/>
    <mergeCell ref="M23:N23"/>
    <mergeCell ref="M24:N24"/>
    <mergeCell ref="M31:N31"/>
    <mergeCell ref="M32:N32"/>
    <mergeCell ref="M33:N33"/>
    <mergeCell ref="M28:N28"/>
    <mergeCell ref="M29:N29"/>
    <mergeCell ref="M30:N30"/>
    <mergeCell ref="M37:N37"/>
    <mergeCell ref="M38:N38"/>
    <mergeCell ref="M39:N39"/>
    <mergeCell ref="M34:N34"/>
    <mergeCell ref="M35:N35"/>
    <mergeCell ref="M36:N36"/>
    <mergeCell ref="M43:N43"/>
    <mergeCell ref="M44:N44"/>
    <mergeCell ref="M45:N45"/>
    <mergeCell ref="M40:N40"/>
    <mergeCell ref="M41:N41"/>
    <mergeCell ref="M42:N42"/>
    <mergeCell ref="M49:N49"/>
    <mergeCell ref="M50:N50"/>
    <mergeCell ref="M51:N51"/>
    <mergeCell ref="M46:N46"/>
    <mergeCell ref="M47:N47"/>
    <mergeCell ref="M48:N48"/>
    <mergeCell ref="M55:N55"/>
    <mergeCell ref="M56:N56"/>
    <mergeCell ref="M57:N57"/>
    <mergeCell ref="M52:N52"/>
    <mergeCell ref="M53:N53"/>
    <mergeCell ref="M54:N54"/>
  </mergeCells>
  <conditionalFormatting sqref="C8:C57">
    <cfRule type="cellIs" dxfId="75" priority="13" stopIfTrue="1" operator="greaterThan">
      <formula>1</formula>
    </cfRule>
  </conditionalFormatting>
  <conditionalFormatting sqref="T8:T57">
    <cfRule type="containsErrors" dxfId="74" priority="7">
      <formula>ISERROR(T8)</formula>
    </cfRule>
    <cfRule type="containsText" dxfId="73" priority="9" operator="containsText" text="Check Size">
      <formula>NOT(ISERROR(SEARCH("Check Size",T8)))</formula>
    </cfRule>
  </conditionalFormatting>
  <conditionalFormatting sqref="I6:U6">
    <cfRule type="notContainsBlanks" dxfId="72" priority="8">
      <formula>LEN(TRIM(I6))&gt;0</formula>
    </cfRule>
  </conditionalFormatting>
  <conditionalFormatting sqref="S8:S57">
    <cfRule type="containsErrors" dxfId="71" priority="6">
      <formula>ISERROR(S8)</formula>
    </cfRule>
  </conditionalFormatting>
  <conditionalFormatting sqref="W2:W5">
    <cfRule type="cellIs" dxfId="70" priority="5" operator="equal">
      <formula>0</formula>
    </cfRule>
  </conditionalFormatting>
  <conditionalFormatting sqref="W8:W57">
    <cfRule type="containsErrors" dxfId="69" priority="14">
      <formula>ISERROR(W8)</formula>
    </cfRule>
  </conditionalFormatting>
  <conditionalFormatting sqref="W8:W57">
    <cfRule type="containsText" dxfId="68" priority="3" operator="containsText" text="FALSE">
      <formula>NOT(ISERROR(SEARCH("FALSE",W8)))</formula>
    </cfRule>
  </conditionalFormatting>
  <conditionalFormatting sqref="I8:I57">
    <cfRule type="expression" dxfId="67" priority="2">
      <formula>CT8&gt;0</formula>
    </cfRule>
  </conditionalFormatting>
  <conditionalFormatting sqref="J8:J57">
    <cfRule type="expression" dxfId="66" priority="1">
      <formula>DC8&gt;0</formula>
    </cfRule>
  </conditionalFormatting>
  <dataValidations count="19">
    <dataValidation type="list" allowBlank="1" showInputMessage="1" showErrorMessage="1" errorTitle="Invalid Entry" error="Invalid Entry" sqref="F8:F57" xr:uid="{00000000-0002-0000-0600-000000000000}">
      <formula1>INDIRECT(SUBSTITUTE(SUBSTITUTE(SUBSTITUTE(AO8," ","_"),"(",""),")",""))</formula1>
    </dataValidation>
    <dataValidation type="list" allowBlank="1" showInputMessage="1" showErrorMessage="1" errorTitle="Invalid Entry" error="Invalid Entry" sqref="G8:G57" xr:uid="{00000000-0002-0000-0600-000001000000}">
      <formula1>INDIRECT(SUBSTITUTE(SUBSTITUTE(SUBSTITUTE(AG8," ","_"),"(",""),")",""))</formula1>
    </dataValidation>
    <dataValidation type="list" allowBlank="1" showInputMessage="1" showErrorMessage="1" errorTitle="Invalid Entry" error="Invalid Entry" sqref="H8:H57" xr:uid="{00000000-0002-0000-0600-000003000000}">
      <formula1>INDIRECT(SUBSTITUTE(SUBSTITUTE(SUBSTITUTE(AS8," ","_"),"(",""),")",""))</formula1>
    </dataValidation>
    <dataValidation allowBlank="1" sqref="X1:X57 W1:W6 W8:W57" xr:uid="{00000000-0002-0000-0600-000004000000}"/>
    <dataValidation allowBlank="1" showInputMessage="1" showErrorMessage="1" errorTitle="Invalid Entry" error="Please select from List!" sqref="T8:T57" xr:uid="{00000000-0002-0000-0600-000005000000}"/>
    <dataValidation allowBlank="1" showInputMessage="1" errorTitle="Invalid Enrty" error="Please select from List!" sqref="V8:V57" xr:uid="{00000000-0002-0000-0600-000006000000}"/>
    <dataValidation errorStyle="information" allowBlank="1" sqref="U8:U57 Y8:Y57" xr:uid="{00000000-0002-0000-0600-000007000000}"/>
    <dataValidation type="whole" errorStyle="warning" allowBlank="1" showInputMessage="1" showErrorMessage="1" errorTitle="Be Aware" error="Minimum Height for some Blind options is 200mm._x000a__x000a_Maximum Height for some Blind options is 3600mm." sqref="J8:J57" xr:uid="{00000000-0002-0000-0600-000008000000}">
      <formula1>200</formula1>
      <formula2>3600</formula2>
    </dataValidation>
    <dataValidation type="whole" errorStyle="warning" allowBlank="1" showInputMessage="1" showErrorMessage="1" errorTitle="Be Aware" error="Minimum Width for some Blind options is 270mm._x000a__x000a_Maximum Width for some Blind options is 3000mm." sqref="I8:I57" xr:uid="{00000000-0002-0000-0600-000009000000}">
      <formula1>200</formula1>
      <formula2>3000</formula2>
    </dataValidation>
    <dataValidation type="list" allowBlank="1" showInputMessage="1" showErrorMessage="1" errorTitle="Invalid Entry" error="Invalid Entry" sqref="D8:D57" xr:uid="{00000000-0002-0000-0600-00000B000000}">
      <formula1>CellularOperation</formula1>
    </dataValidation>
    <dataValidation type="list" errorStyle="warning" allowBlank="1" showInputMessage="1" showErrorMessage="1" errorTitle="Invalid Entry" error="This is not a standard colour._x000a_Please select from List!" sqref="M8:N57" xr:uid="{00000000-0002-0000-0600-00000C000000}">
      <formula1>"NAM, ACT"</formula1>
    </dataValidation>
    <dataValidation type="list" allowBlank="1" showInputMessage="1" showErrorMessage="1" errorTitle="Invalid Entry" error="Invalid Entry" sqref="O8:O57" xr:uid="{00000000-0002-0000-0600-00000F000000}">
      <formula1>INDIRECT(SUBSTITUTE(SUBSTITUTE(SUBSTITUTE(AT8," ","_"),"(",""),")",""))</formula1>
    </dataValidation>
    <dataValidation type="list" allowBlank="1" showInputMessage="1" showErrorMessage="1" errorTitle="Invalid Entry" error="Invalid Entry" sqref="E8:E57" xr:uid="{00BBCFF7-B215-4810-9DBB-F374288AC8EB}">
      <formula1>INDIRECT(SUBSTITUTE(SUBSTITUTE(SUBSTITUTE(AH8," ","_"),"(",""),")",""))</formula1>
    </dataValidation>
    <dataValidation type="list" allowBlank="1" showInputMessage="1" showErrorMessage="1" errorTitle="Invalid Entry" error="Invalid Entry" sqref="K8:K57" xr:uid="{735665E8-77C1-4D73-BD7B-0D8C6AC32C01}">
      <formula1>INDIRECT(SUBSTITUTE(SUBSTITUTE(SUBSTITUTE(AA8," ","_"),"(",""),")",""))</formula1>
    </dataValidation>
    <dataValidation type="list" allowBlank="1" showInputMessage="1" showErrorMessage="1" errorTitle="Invalid Entry" error="Invalid Entry" sqref="Q8:Q57" xr:uid="{6D245460-5EFE-43AF-866B-8083AADEE545}">
      <formula1>INDIRECT(SUBSTITUTE(SUBSTITUTE(SUBSTITUTE(AP8," ","_"),"(",""),")",""))</formula1>
    </dataValidation>
    <dataValidation type="list" allowBlank="1" showInputMessage="1" showErrorMessage="1" errorTitle="Invalid Entry" error="Invalid Entry" sqref="L8:L57" xr:uid="{99FC75D8-AC7E-4C84-81BB-5B9FC76C8878}">
      <formula1>INDIRECT(SUBSTITUTE(SUBSTITUTE(SUBSTITUTE(BA8," ","_"),"(",""),")",""))</formula1>
    </dataValidation>
    <dataValidation type="list" allowBlank="1" showInputMessage="1" showErrorMessage="1" errorTitle="Invalid Entry" error="Invalid Entry" sqref="R8:R57" xr:uid="{C844060A-96BF-47F4-8DBE-3F267F846EB4}">
      <formula1>INDIRECT(SUBSTITUTE(SUBSTITUTE(SUBSTITUTE(BN8," ","_"),"(",""),")",""))</formula1>
    </dataValidation>
    <dataValidation type="list" allowBlank="1" showInputMessage="1" showErrorMessage="1" errorTitle="Invalid Entry" error="Invalid Entry" sqref="S8:S57" xr:uid="{504ABF3B-FB5D-4D9E-B737-F05B1892C8FB}">
      <formula1>INDIRECT(SUBSTITUTE(SUBSTITUTE(SUBSTITUTE(CB8," ","_"),"(",""),")",""))</formula1>
    </dataValidation>
    <dataValidation type="list" allowBlank="1" showInputMessage="1" showErrorMessage="1" errorTitle="Invalid Entry" error="Invalid Entry" sqref="P8:P57" xr:uid="{16F1D2D6-81DF-4E41-81C5-3E49586CB83B}">
      <formula1>INDIRECT(SUBSTITUTE(SUBSTITUTE(SUBSTITUTE(AL8," ","_"),"(",""),")",""))</formula1>
    </dataValidation>
  </dataValidations>
  <printOptions horizontalCentered="1"/>
  <pageMargins left="0.23622047244094491" right="0.23622047244094491" top="0.23622047244094491" bottom="0.23622047244094491" header="0.19685039370078741" footer="0.15748031496062992"/>
  <pageSetup paperSize="9" scale="27"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BZ58"/>
  <sheetViews>
    <sheetView zoomScale="85" zoomScaleNormal="85" zoomScaleSheetLayoutView="85" workbookViewId="0">
      <selection activeCell="B8" sqref="B8"/>
    </sheetView>
  </sheetViews>
  <sheetFormatPr defaultRowHeight="15"/>
  <cols>
    <col min="1" max="1" width="7.140625" style="54" customWidth="1"/>
    <col min="2" max="2" width="13.7109375" style="54" customWidth="1"/>
    <col min="3" max="3" width="8.42578125" style="54" customWidth="1"/>
    <col min="4" max="4" width="21.5703125" style="54" customWidth="1"/>
    <col min="5" max="5" width="19.28515625" style="54" customWidth="1"/>
    <col min="6" max="6" width="13" style="54" customWidth="1"/>
    <col min="7" max="8" width="12.42578125" style="54" customWidth="1"/>
    <col min="9" max="9" width="38.140625" style="54" customWidth="1"/>
    <col min="10" max="10" width="15.85546875" style="54" customWidth="1"/>
    <col min="11" max="11" width="14" style="54" customWidth="1"/>
    <col min="12" max="12" width="9.85546875" style="54" customWidth="1"/>
    <col min="13" max="13" width="4.28515625" style="54" customWidth="1"/>
    <col min="14" max="14" width="14.7109375" style="54" customWidth="1"/>
    <col min="15" max="15" width="13.7109375" style="54" customWidth="1"/>
    <col min="16" max="16" width="14.7109375" style="54" customWidth="1"/>
    <col min="17" max="17" width="12.28515625" style="54" customWidth="1"/>
    <col min="18" max="18" width="10.85546875" style="54" customWidth="1"/>
    <col min="19" max="19" width="9.28515625" style="54" customWidth="1"/>
    <col min="20" max="21" width="21.7109375" style="54" customWidth="1"/>
    <col min="22" max="22" width="15.42578125" style="54" customWidth="1"/>
    <col min="23" max="23" width="44.5703125" style="65" hidden="1" customWidth="1"/>
    <col min="24" max="24" width="22.5703125" style="269" hidden="1" customWidth="1"/>
    <col min="25" max="25" width="9.140625" style="269" hidden="1" customWidth="1"/>
    <col min="26" max="26" width="9.140625" style="33" hidden="1" customWidth="1"/>
    <col min="27" max="27" width="14.7109375" style="269" hidden="1" customWidth="1"/>
    <col min="28" max="28" width="37.42578125" style="172" hidden="1" customWidth="1"/>
    <col min="29" max="30" width="23.28515625" style="172" hidden="1" customWidth="1"/>
    <col min="31" max="31" width="25.140625" style="33" hidden="1" customWidth="1"/>
    <col min="32" max="33" width="9.140625" style="33" hidden="1" customWidth="1"/>
    <col min="34" max="34" width="27" style="33" hidden="1" customWidth="1"/>
    <col min="35" max="35" width="9.140625" style="33" hidden="1" customWidth="1"/>
    <col min="36" max="36" width="24" style="33" hidden="1" customWidth="1"/>
    <col min="37" max="37" width="9.140625" style="33" hidden="1" customWidth="1"/>
    <col min="38" max="38" width="42.7109375" style="33" hidden="1" customWidth="1"/>
    <col min="39" max="47" width="9.140625" style="33" hidden="1" customWidth="1"/>
    <col min="48" max="48" width="14.7109375" style="33" hidden="1" customWidth="1"/>
    <col min="49" max="50" width="15.140625" style="172" hidden="1" customWidth="1"/>
    <col min="51" max="51" width="21.42578125" style="172" hidden="1" customWidth="1"/>
    <col min="52" max="52" width="9.140625" style="33" hidden="1" customWidth="1"/>
    <col min="53" max="53" width="13.85546875" style="33" hidden="1" customWidth="1"/>
    <col min="54" max="54" width="45" style="172" hidden="1" customWidth="1"/>
    <col min="55" max="55" width="53" style="33" hidden="1" customWidth="1"/>
    <col min="56" max="56" width="33.5703125" style="33" hidden="1" customWidth="1"/>
    <col min="57" max="57" width="28.85546875" style="33" hidden="1" customWidth="1"/>
    <col min="58" max="58" width="35.140625" style="33" hidden="1" customWidth="1"/>
    <col min="59" max="59" width="24.42578125" style="33" hidden="1" customWidth="1"/>
    <col min="60" max="60" width="39.85546875" style="33" hidden="1" customWidth="1"/>
    <col min="61" max="61" width="49" style="33" hidden="1" customWidth="1"/>
    <col min="62" max="62" width="20.28515625" style="172" hidden="1" customWidth="1"/>
    <col min="63" max="63" width="21.28515625" style="172" hidden="1" customWidth="1"/>
    <col min="64" max="64" width="19.5703125" style="172" hidden="1" customWidth="1"/>
    <col min="65" max="65" width="21.42578125" style="172" hidden="1" customWidth="1"/>
    <col min="66" max="66" width="20.28515625" style="172" hidden="1" customWidth="1"/>
    <col min="67" max="71" width="32" style="33" hidden="1" customWidth="1"/>
    <col min="72" max="78" width="9.140625" style="33" hidden="1" customWidth="1"/>
    <col min="79" max="16384" width="9.140625" style="33"/>
  </cols>
  <sheetData>
    <row r="1" spans="1:70" ht="26.25">
      <c r="A1" s="114"/>
      <c r="B1" s="115"/>
      <c r="C1" s="115"/>
      <c r="D1" s="115"/>
      <c r="E1" s="171"/>
      <c r="F1" s="115"/>
      <c r="G1" s="115"/>
      <c r="H1" s="115"/>
      <c r="I1" s="115"/>
      <c r="J1" s="48"/>
      <c r="K1" s="685" t="s">
        <v>0</v>
      </c>
      <c r="L1" s="686"/>
      <c r="M1" s="676">
        <f>Summary!D3</f>
        <v>0</v>
      </c>
      <c r="N1" s="677"/>
      <c r="O1" s="677"/>
      <c r="P1" s="677"/>
      <c r="Q1" s="677"/>
      <c r="R1" s="677"/>
      <c r="S1" s="677"/>
      <c r="T1" s="678"/>
      <c r="U1" s="59"/>
      <c r="V1" s="261"/>
      <c r="W1" s="258"/>
    </row>
    <row r="2" spans="1:70" ht="19.5">
      <c r="A2" s="28"/>
      <c r="B2" s="29"/>
      <c r="C2" s="29"/>
      <c r="F2" s="683" t="s">
        <v>1475</v>
      </c>
      <c r="G2" s="683"/>
      <c r="H2" s="683"/>
      <c r="I2" s="683"/>
      <c r="J2" s="48"/>
      <c r="K2" s="685" t="s">
        <v>141</v>
      </c>
      <c r="L2" s="686"/>
      <c r="M2" s="568">
        <f>Summary!D6</f>
        <v>0</v>
      </c>
      <c r="N2" s="569"/>
      <c r="O2" s="569"/>
      <c r="P2" s="569"/>
      <c r="Q2" s="569"/>
      <c r="R2" s="569"/>
      <c r="S2" s="569"/>
      <c r="T2" s="570"/>
      <c r="U2" s="61"/>
      <c r="V2" s="261"/>
      <c r="W2" s="258"/>
    </row>
    <row r="3" spans="1:70" ht="17.25" customHeight="1">
      <c r="A3" s="7"/>
      <c r="B3" s="8"/>
      <c r="C3" s="8"/>
      <c r="D3" s="116"/>
      <c r="F3" s="116"/>
      <c r="G3" s="116"/>
      <c r="H3" s="116"/>
      <c r="I3" s="116"/>
      <c r="J3" s="267"/>
      <c r="K3" s="685" t="s">
        <v>143</v>
      </c>
      <c r="L3" s="686"/>
      <c r="M3" s="549">
        <f>Summary!D4</f>
        <v>0</v>
      </c>
      <c r="N3" s="681"/>
      <c r="O3" s="681"/>
      <c r="P3" s="681"/>
      <c r="Q3" s="681"/>
      <c r="R3" s="681"/>
      <c r="S3" s="681"/>
      <c r="T3" s="682"/>
      <c r="U3" s="61"/>
      <c r="V3" s="62"/>
      <c r="W3" s="63"/>
    </row>
    <row r="4" spans="1:70" ht="17.25" customHeight="1">
      <c r="A4" s="563" t="s">
        <v>453</v>
      </c>
      <c r="B4" s="563"/>
      <c r="C4" s="563"/>
      <c r="D4" s="573"/>
      <c r="E4" s="573"/>
      <c r="F4" s="564" t="s">
        <v>452</v>
      </c>
      <c r="G4" s="565"/>
      <c r="H4" s="564"/>
      <c r="I4" s="684"/>
      <c r="J4" s="267"/>
      <c r="K4" s="685" t="s">
        <v>978</v>
      </c>
      <c r="L4" s="686"/>
      <c r="M4" s="568">
        <f>Summary!D7</f>
        <v>0</v>
      </c>
      <c r="N4" s="569"/>
      <c r="O4" s="569"/>
      <c r="P4" s="569"/>
      <c r="Q4" s="569"/>
      <c r="R4" s="569"/>
      <c r="S4" s="569"/>
      <c r="T4" s="570"/>
      <c r="U4" s="61"/>
      <c r="V4" s="261"/>
      <c r="W4" s="259"/>
    </row>
    <row r="5" spans="1:70" ht="17.25" customHeight="1">
      <c r="A5" s="96" t="s">
        <v>415</v>
      </c>
      <c r="B5" s="97"/>
      <c r="C5" s="97"/>
      <c r="D5" s="43" t="s">
        <v>210</v>
      </c>
      <c r="E5" s="118"/>
      <c r="F5" s="43"/>
      <c r="G5" s="117"/>
      <c r="H5" s="117"/>
      <c r="I5" s="117"/>
      <c r="J5" s="267"/>
      <c r="K5" s="685" t="s">
        <v>144</v>
      </c>
      <c r="L5" s="686"/>
      <c r="M5" s="695">
        <f>Summary!D8</f>
        <v>0</v>
      </c>
      <c r="N5" s="696"/>
      <c r="O5" s="696"/>
      <c r="P5" s="696"/>
      <c r="Q5" s="696"/>
      <c r="R5" s="696"/>
      <c r="S5" s="696"/>
      <c r="T5" s="697"/>
      <c r="U5" s="64"/>
      <c r="V5" s="261"/>
      <c r="W5" s="259"/>
    </row>
    <row r="6" spans="1:70" ht="15.75" thickBot="1">
      <c r="A6" s="584" t="s">
        <v>723</v>
      </c>
      <c r="B6" s="585"/>
      <c r="C6" s="585"/>
      <c r="D6" s="585"/>
      <c r="E6" s="585"/>
      <c r="F6" s="585"/>
      <c r="G6" s="585"/>
      <c r="H6" s="585"/>
      <c r="I6" s="585"/>
      <c r="J6" s="268"/>
      <c r="K6" s="687" t="s">
        <v>654</v>
      </c>
      <c r="L6" s="688"/>
      <c r="M6" s="581" t="str">
        <f>AB18</f>
        <v/>
      </c>
      <c r="N6" s="598"/>
      <c r="O6" s="598"/>
      <c r="P6" s="598"/>
      <c r="Q6" s="598"/>
      <c r="R6" s="598"/>
      <c r="S6" s="598"/>
      <c r="T6" s="599"/>
      <c r="BN6" s="172" t="s">
        <v>22</v>
      </c>
    </row>
    <row r="7" spans="1:70" ht="47.25" customHeight="1" thickTop="1" thickBot="1">
      <c r="A7" s="66" t="s">
        <v>146</v>
      </c>
      <c r="B7" s="67" t="s">
        <v>147</v>
      </c>
      <c r="C7" s="68" t="s">
        <v>164</v>
      </c>
      <c r="D7" s="68" t="s">
        <v>1208</v>
      </c>
      <c r="E7" s="68" t="s">
        <v>152</v>
      </c>
      <c r="F7" s="67" t="s">
        <v>148</v>
      </c>
      <c r="G7" s="68" t="s">
        <v>149</v>
      </c>
      <c r="H7" s="69" t="s">
        <v>955</v>
      </c>
      <c r="I7" s="69" t="s">
        <v>1477</v>
      </c>
      <c r="J7" s="69" t="s">
        <v>14</v>
      </c>
      <c r="K7" s="69" t="s">
        <v>165</v>
      </c>
      <c r="L7" s="541" t="s">
        <v>13</v>
      </c>
      <c r="M7" s="542"/>
      <c r="N7" s="67" t="s">
        <v>1506</v>
      </c>
      <c r="O7" s="67" t="s">
        <v>182</v>
      </c>
      <c r="P7" s="67" t="s">
        <v>166</v>
      </c>
      <c r="Q7" s="67" t="s">
        <v>189</v>
      </c>
      <c r="R7" s="67" t="s">
        <v>190</v>
      </c>
      <c r="S7" s="67" t="s">
        <v>186</v>
      </c>
      <c r="T7" s="543" t="s">
        <v>203</v>
      </c>
      <c r="U7" s="600"/>
      <c r="V7" s="231"/>
      <c r="W7" s="231"/>
      <c r="X7" s="269" t="s">
        <v>1072</v>
      </c>
      <c r="Y7" s="269" t="s">
        <v>1170</v>
      </c>
      <c r="AA7" s="269" t="s">
        <v>1171</v>
      </c>
      <c r="AD7" s="172" t="s">
        <v>841</v>
      </c>
      <c r="AE7" s="33" t="s">
        <v>1129</v>
      </c>
      <c r="AH7" s="33" t="s">
        <v>1151</v>
      </c>
      <c r="AJ7" s="33" t="s">
        <v>186</v>
      </c>
      <c r="AL7" s="33" t="s">
        <v>169</v>
      </c>
      <c r="AV7" s="67" t="s">
        <v>221</v>
      </c>
      <c r="AW7" s="172" t="s">
        <v>864</v>
      </c>
      <c r="AX7" s="172" t="s">
        <v>865</v>
      </c>
      <c r="AY7" s="172" t="s">
        <v>866</v>
      </c>
      <c r="BB7" s="172" t="s">
        <v>1436</v>
      </c>
      <c r="BC7" s="33" t="s">
        <v>168</v>
      </c>
      <c r="BD7" s="33" t="s">
        <v>1439</v>
      </c>
      <c r="BE7" s="33" t="s">
        <v>1446</v>
      </c>
      <c r="BF7" s="33" t="s">
        <v>1447</v>
      </c>
      <c r="BG7" s="33" t="s">
        <v>1448</v>
      </c>
      <c r="BH7" s="33" t="s">
        <v>166</v>
      </c>
      <c r="BI7" s="33" t="s">
        <v>1489</v>
      </c>
      <c r="BJ7" s="172" t="s">
        <v>1496</v>
      </c>
      <c r="BK7" s="172" t="s">
        <v>1495</v>
      </c>
      <c r="BL7" s="172" t="s">
        <v>1493</v>
      </c>
      <c r="BM7" s="172" t="s">
        <v>1494</v>
      </c>
      <c r="BN7" s="172" t="s">
        <v>1407</v>
      </c>
      <c r="BO7" s="33" t="s">
        <v>1521</v>
      </c>
      <c r="BP7" s="33" t="s">
        <v>1522</v>
      </c>
      <c r="BQ7" s="33" t="s">
        <v>1523</v>
      </c>
      <c r="BR7" s="33" t="s">
        <v>1524</v>
      </c>
    </row>
    <row r="8" spans="1:70" ht="30" customHeight="1" thickTop="1" thickBot="1">
      <c r="A8" s="50">
        <v>1</v>
      </c>
      <c r="B8" s="9"/>
      <c r="C8" s="23"/>
      <c r="D8" s="25"/>
      <c r="E8" s="11"/>
      <c r="F8" s="24"/>
      <c r="G8" s="24"/>
      <c r="H8" s="24"/>
      <c r="I8" s="25"/>
      <c r="J8" s="24"/>
      <c r="K8" s="24"/>
      <c r="L8" s="531"/>
      <c r="M8" s="532"/>
      <c r="N8" s="11"/>
      <c r="O8" s="11"/>
      <c r="P8" s="11"/>
      <c r="Q8" s="40"/>
      <c r="R8" s="25"/>
      <c r="S8" s="25"/>
      <c r="T8" s="691"/>
      <c r="U8" s="692"/>
      <c r="V8" s="229"/>
      <c r="W8" s="230"/>
      <c r="X8" s="269" t="e">
        <f>IF(AND(Y8="Yes",S8=""),"Enter","OK")</f>
        <v>#N/A</v>
      </c>
      <c r="Y8" s="269" t="e">
        <f>VLOOKUP(Q8,Data!$QH$2:$QI$4,2,FALSE)</f>
        <v>#N/A</v>
      </c>
      <c r="AA8" s="269" t="e">
        <f>IF(AND(Y8="Yes",R8=""),"Enter","OK")</f>
        <v>#N/A</v>
      </c>
      <c r="AB8" s="172" t="str">
        <f>IF(COUNTIF($J$8:$J$57,Data!KF3),Data!KG3,"")</f>
        <v/>
      </c>
      <c r="AC8" s="172" t="str">
        <f>IF(SUM(--ISNUMBER(SEARCH({"Bay","Corner"}, P8:P17))),"Yes","No")</f>
        <v>No</v>
      </c>
      <c r="AD8" s="172" t="e">
        <f>IF(#REF!=Data!$KK$2,Data!$KM$1,IF(#REF!=Data!$KK$3,Data!$KN$1,IF(#REF!=Data!$KK$4,Data!$KP$1,IF(#REF!=Data!$KK$5,Data!$KQ$1))))</f>
        <v>#REF!</v>
      </c>
      <c r="AE8" s="33" t="str">
        <f>IF(D8=Data!$W$10,Data!$QJ$1,Data!$QK$1)</f>
        <v>RollerControl</v>
      </c>
      <c r="AH8" s="33" t="b">
        <f>IF(Q8=Data!$PX$2,Data!$PZ$1,IF(Q8=Data!$PX$3,Data!$PY$1,IF(Q8=Data!$PX$4,Data!$QA$1)))</f>
        <v>0</v>
      </c>
      <c r="AJ8" s="33" t="b">
        <f>IF(Q8=Data!$PX$3,Data!$QB$1,IF(Q8=Data!$PX$2,Data!$QC$1,IF(Q8=Data!$PX$4,Data!$QD$1)))</f>
        <v>0</v>
      </c>
      <c r="AL8" s="33" t="str">
        <f>IF(D8=Data!$W$3,Data!$QF$1,IF(D8=Data!$W$4,Data!$QF$1,IF(D8=Data!$W$5,Data!$QF$1,IF(D8=Data!$W$6,Data!$QF$1,IF(D8=Data!$W$7,Data!$QF$1,IF(D8=Data!$W$8,Data!$QF$1,IF(D8=Data!$W$9,Data!$QF$1,IF(D8=Data!$W$10,Data!$QE$1,IF(D8=Data!$W$11,Data!$QF$1,IF(D8=Data!$W$12,Data!$QF$1,IF(D8=Data!$W$13,Data!$QF$1,IF(D8=Data!$W$14,Data!$QF$1,IF(D8=Data!$W$15,Data!$QF$1,IF(D8=Data!$W$16,Data!$QF$1))))))))))))))</f>
        <v>RollerBracketType2</v>
      </c>
      <c r="AV8" s="40" t="e">
        <f>IF(AND(G8&lt;2130, OR(#REF!&lt;2100)),Data!$KS$1,Data!$KT$1)</f>
        <v>#REF!</v>
      </c>
      <c r="AW8" s="172" t="e">
        <f>MATCH(#REF!,Data!$LA$1:$LD$1,0)</f>
        <v>#REF!</v>
      </c>
      <c r="AX8" s="172" t="e">
        <f>MATCH('Panel Glide Blinds'!AV8,Data!$KZ$2:$KZ$3,0)</f>
        <v>#REF!</v>
      </c>
      <c r="AY8" s="172" t="e">
        <f>INDEX(Data!$LA$2:$LD$3,'Panel Glide Blinds'!AX8,'Panel Glide Blinds'!AW8)</f>
        <v>#REF!</v>
      </c>
      <c r="BB8" s="172" t="e">
        <f>IF(#REF!=Data!$QK$2,Data!$QL$1,IF(#REF!=Data!$QK$3,Data!$QM$1,IF(#REF!=Data!$QK$4,Data!$QN$1,IF(#REF!=Data!$QK$5,Data!$QO$1,IF(#REF!=Data!$QK$6,Data!$QP$1,IF(#REF!=Data!$QK$7,Data!$QQ$1,IF(#REF!=Data!$QK$8,Data!$QR$1,IF(#REF!=Data!$QK$9,Data!$QS$1,IF(#REF!=Data!$QK$10,Data!$QT$1,IF(#REF!=Data!$QK$11,Data!$QU$1))))))))))</f>
        <v>#REF!</v>
      </c>
      <c r="BC8" s="33" t="e">
        <f>IF(#REF!=Data!$QK$2,Data!$QL$17,IF(#REF!=Data!$QK$3,Data!$QM$17,IF(#REF!=Data!$QK$4,Data!$QN$17,IF(#REF!=Data!$QK$5,Data!$QO$17,IF(#REF!=Data!$QK$6,Data!$QP$17,IF(#REF!=Data!$QK$7,Data!$QQ$17,IF(#REF!=Data!$QK$8,Data!$QR$17,IF(#REF!=Data!$QK$9,Data!$QS$17,IF(#REF!=Data!$QK$10,Data!$QT$17,IF(#REF!=Data!$QK$11,Data!$QU$17))))))))))</f>
        <v>#REF!</v>
      </c>
      <c r="BD8" s="33" t="e">
        <f>IF(#REF!=Data!$PU$2,Data!$PW$1,IF(#REF!=Data!$PU$3,Data!$PW$1,IF(#REF!=Data!$PU$4,Data!$PV$1,IF(#REF!=Data!$PU$5,Data!$PV$1,))))</f>
        <v>#REF!</v>
      </c>
      <c r="BE8" s="33" t="e">
        <f>MATCH('Panel Glide Blinds'!D8,Data!$AAK$2:$AAK$15)</f>
        <v>#N/A</v>
      </c>
      <c r="BF8" s="33" t="e">
        <f>MATCH(O8,Data!$AAL$1:$AAM$1)</f>
        <v>#N/A</v>
      </c>
      <c r="BG8" s="33" t="e">
        <f>INDEX(Data!$AAL$2:$AAM$15,BE8,BF8)</f>
        <v>#N/A</v>
      </c>
      <c r="BH8" s="33" t="b">
        <f>IF(O8=Data!$ABF$1,Data!$ABD$1,IF(O8=Data!$ABF$2,Data!$ABE$1))</f>
        <v>0</v>
      </c>
      <c r="BI8" s="33" t="e">
        <f>VLOOKUP(H8,Data!$ABL$2:$ABM$8,2,FALSE)</f>
        <v>#N/A</v>
      </c>
      <c r="BJ8" s="172" t="e">
        <f>VLOOKUP(H8,Data!$ABW$2:$ABX$9,2,FALSE)</f>
        <v>#N/A</v>
      </c>
      <c r="BK8" s="172" t="e">
        <f>VLOOKUP(H8,Data!$ABW$2:$ABY$8,3,FALSE)</f>
        <v>#N/A</v>
      </c>
      <c r="BL8" s="172" t="str">
        <f t="shared" ref="BL8:BL39" si="0">IF(F8="","",IF(F8&lt;BJ8,"Yes","No"))</f>
        <v/>
      </c>
      <c r="BM8" s="172" t="str">
        <f t="shared" ref="BM8:BM39" si="1">IF(F8="","",IF(F8&gt;BK8,"Yes","No"))</f>
        <v/>
      </c>
      <c r="BN8" s="172" t="str">
        <f>IF(COUNTIF(BL8:BM8,$BN$6),"Check Size","")</f>
        <v/>
      </c>
      <c r="BO8" s="33" t="e">
        <f>F8/H8</f>
        <v>#DIV/0!</v>
      </c>
      <c r="BP8" s="33" t="e">
        <f>IF(BO8&lt;400, "Yes", "No")</f>
        <v>#DIV/0!</v>
      </c>
      <c r="BQ8" s="33" t="e">
        <f>IF(BO8&gt;1000, "Yes", "No")</f>
        <v>#DIV/0!</v>
      </c>
      <c r="BR8" s="33" t="str">
        <f>IF(COUNTIF(BP8:BQ8,$BN$6),"Check Size","")</f>
        <v/>
      </c>
    </row>
    <row r="9" spans="1:70" ht="30" customHeight="1" thickTop="1" thickBot="1">
      <c r="A9" s="51">
        <v>2</v>
      </c>
      <c r="B9" s="13"/>
      <c r="C9" s="27"/>
      <c r="D9" s="13"/>
      <c r="E9" s="15"/>
      <c r="F9" s="14"/>
      <c r="G9" s="14"/>
      <c r="H9" s="14"/>
      <c r="I9" s="13"/>
      <c r="J9" s="14"/>
      <c r="K9" s="14"/>
      <c r="L9" s="525"/>
      <c r="M9" s="526"/>
      <c r="N9" s="15"/>
      <c r="O9" s="15"/>
      <c r="P9" s="15"/>
      <c r="Q9" s="13"/>
      <c r="R9" s="13"/>
      <c r="S9" s="13"/>
      <c r="T9" s="689"/>
      <c r="U9" s="690"/>
      <c r="V9" s="229"/>
      <c r="W9" s="230"/>
      <c r="X9" s="269" t="e">
        <f t="shared" ref="X9:X57" si="2">IF(AND(Y9="Yes",S9=""),"Enter","OK")</f>
        <v>#N/A</v>
      </c>
      <c r="Y9" s="269" t="e">
        <f>VLOOKUP(Q9,Data!$QH$2:$QI$4,2,FALSE)</f>
        <v>#N/A</v>
      </c>
      <c r="AA9" s="269" t="e">
        <f t="shared" ref="AA9:AA57" si="3">IF(AND(Y9="Yes",R9=""),"Enter","OK")</f>
        <v>#N/A</v>
      </c>
      <c r="AB9" s="172" t="str">
        <f>IF(COUNTIF($J$8:$J$57,Data!KF4),Data!KG4,"")</f>
        <v/>
      </c>
      <c r="AD9" s="172" t="e">
        <f>IF(#REF!=Data!$KK$2,Data!$KM$1,IF(#REF!=Data!$KK$3,Data!$KN$1,IF(#REF!=Data!$KK$4,Data!$KP$1,IF(#REF!=Data!$KK$5,Data!$KQ$1))))</f>
        <v>#REF!</v>
      </c>
      <c r="AE9" s="33" t="str">
        <f>IF(D9=Data!$W$10,Data!$QJ$1,Data!$QK$1)</f>
        <v>RollerControl</v>
      </c>
      <c r="AH9" s="33" t="b">
        <f>IF(Q9=Data!$PX$2,Data!$PZ$1,IF(Q9=Data!$PX$3,Data!$PY$1,IF(Q9=Data!$PX$4,Data!$QA$1)))</f>
        <v>0</v>
      </c>
      <c r="AJ9" s="33" t="b">
        <f>IF(Q9=Data!$PX$3,Data!$QB$1,IF(Q9=Data!$PX$2,Data!$QC$1,IF(Q9=Data!$PX$4,Data!$QD$1)))</f>
        <v>0</v>
      </c>
      <c r="AL9" s="33" t="str">
        <f>IF(D9=Data!$W$3,Data!$QF$1,IF(D9=Data!$W$4,Data!$QF$1,IF(D9=Data!$W$5,Data!$QF$1,IF(D9=Data!$W$6,Data!$QF$1,IF(D9=Data!$W$7,Data!$QF$1,IF(D9=Data!$W$8,Data!$QF$1,IF(D9=Data!$W$9,Data!$QF$1,IF(D9=Data!$W$10,Data!$QE$1,IF(D9=Data!$W$11,Data!$QF$1,IF(D9=Data!$W$12,Data!$QF$1,IF(D9=Data!$W$13,Data!$QF$1,IF(D9=Data!$W$14,Data!$QF$1,IF(D9=Data!$W$15,Data!$QF$1,IF(D9=Data!$W$16,Data!$QF$1))))))))))))))</f>
        <v>RollerBracketType2</v>
      </c>
      <c r="AV9" s="40" t="e">
        <f>IF(AND(G9&lt;2130, OR(#REF!&lt;2100)),Data!$KS$1,Data!$KT$1)</f>
        <v>#REF!</v>
      </c>
      <c r="AW9" s="172" t="e">
        <f>MATCH(#REF!,Data!$LA$1:$LD$1,0)</f>
        <v>#REF!</v>
      </c>
      <c r="AX9" s="172" t="e">
        <f>MATCH('Panel Glide Blinds'!AV9,Data!$KZ$2:$KZ$3,0)</f>
        <v>#REF!</v>
      </c>
      <c r="AY9" s="172" t="e">
        <f>INDEX(Data!$LA$2:$LD$3,'Panel Glide Blinds'!AX9,'Panel Glide Blinds'!AW9)</f>
        <v>#REF!</v>
      </c>
      <c r="BB9" s="172" t="e">
        <f>IF(#REF!=Data!$QK$2,Data!$QL$1,IF(#REF!=Data!$QK$3,Data!$QM$1,IF(#REF!=Data!$QK$4,Data!$QN$1,IF(#REF!=Data!$QK$5,Data!$QO$1,IF(#REF!=Data!$QK$6,Data!$QP$1,IF(#REF!=Data!$QK$7,Data!$QQ$1,IF(#REF!=Data!$QK$8,Data!$QR$1,IF(#REF!=Data!$QK$9,Data!$QS$1,IF(#REF!=Data!$QK$10,Data!$QT$1,IF(#REF!=Data!$QK$11,Data!$QU$1))))))))))</f>
        <v>#REF!</v>
      </c>
      <c r="BC9" s="33" t="e">
        <f>IF(#REF!=Data!$QK$2,Data!$QL$17,IF(#REF!=Data!$QK$3,Data!$QM$17,IF(#REF!=Data!$QK$4,Data!$QN$17,IF(#REF!=Data!$QK$5,Data!$QO$17,IF(#REF!=Data!$QK$6,Data!$QP$17,IF(#REF!=Data!$QK$7,Data!$QQ$17,IF(#REF!=Data!$QK$8,Data!$QR$17,IF(#REF!=Data!$QK$9,Data!$QS$17,IF(#REF!=Data!$QK$10,Data!$QT$17,IF(#REF!=Data!$QK$11,Data!$QU$17))))))))))</f>
        <v>#REF!</v>
      </c>
      <c r="BD9" s="33" t="e">
        <f>IF(#REF!=Data!$PU$2,Data!$PW$1,IF(#REF!=Data!$PU$3,Data!$PW$1,IF(#REF!=Data!$PU$4,Data!$PV$1,IF(#REF!=Data!$PU$5,Data!$PV$1,))))</f>
        <v>#REF!</v>
      </c>
      <c r="BE9" s="33" t="e">
        <f>MATCH('Panel Glide Blinds'!D9,Data!$AAK$2:$AAK$15)</f>
        <v>#N/A</v>
      </c>
      <c r="BF9" s="33" t="e">
        <f>MATCH(O9,Data!$AAL$1:$AAM$1)</f>
        <v>#N/A</v>
      </c>
      <c r="BG9" s="33" t="e">
        <f>INDEX(Data!$AAL$2:$AAM$15,BE9,BF9)</f>
        <v>#N/A</v>
      </c>
      <c r="BH9" s="33" t="b">
        <f>IF(O9=Data!$ABF$1,Data!$ABD$1,IF(O9=Data!$ABF$2,Data!$ABE$1))</f>
        <v>0</v>
      </c>
      <c r="BI9" s="33" t="e">
        <f>VLOOKUP(H9,Data!$ABL$2:$ABM$8,2,FALSE)</f>
        <v>#N/A</v>
      </c>
      <c r="BJ9" s="172" t="e">
        <f>VLOOKUP(H9,Data!$ABW$2:$ABX$9,2,FALSE)</f>
        <v>#N/A</v>
      </c>
      <c r="BK9" s="172" t="e">
        <f>VLOOKUP(H9,Data!$ABW$2:$ABY$8,3,FALSE)</f>
        <v>#N/A</v>
      </c>
      <c r="BL9" s="172" t="str">
        <f t="shared" si="0"/>
        <v/>
      </c>
      <c r="BM9" s="172" t="str">
        <f t="shared" si="1"/>
        <v/>
      </c>
      <c r="BN9" s="172" t="str">
        <f t="shared" ref="BN9:BN57" si="4">IF(COUNTIF(BL9:BM9,$BN$6),"Check Size","")</f>
        <v/>
      </c>
      <c r="BO9" s="33" t="e">
        <f t="shared" ref="BO9:BO57" si="5">F9/H9</f>
        <v>#DIV/0!</v>
      </c>
      <c r="BP9" s="33" t="e">
        <f t="shared" ref="BP9:BP57" si="6">IF(BO9&lt;400, "Yes", "No")</f>
        <v>#DIV/0!</v>
      </c>
      <c r="BQ9" s="33" t="e">
        <f t="shared" ref="BQ9:BQ57" si="7">IF(BO9&gt;1000, "Yes", "No")</f>
        <v>#DIV/0!</v>
      </c>
      <c r="BR9" s="33" t="str">
        <f t="shared" ref="BR9:BR57" si="8">IF(COUNTIF(BP9:BQ9,$BN$6),"Check Size","")</f>
        <v/>
      </c>
    </row>
    <row r="10" spans="1:70" ht="30" customHeight="1" thickTop="1" thickBot="1">
      <c r="A10" s="52">
        <v>3</v>
      </c>
      <c r="B10" s="17"/>
      <c r="C10" s="17"/>
      <c r="D10" s="13"/>
      <c r="E10" s="15"/>
      <c r="F10" s="14"/>
      <c r="G10" s="14"/>
      <c r="H10" s="14"/>
      <c r="I10" s="13"/>
      <c r="J10" s="14"/>
      <c r="K10" s="14"/>
      <c r="L10" s="525"/>
      <c r="M10" s="526"/>
      <c r="N10" s="15"/>
      <c r="O10" s="15"/>
      <c r="P10" s="15"/>
      <c r="Q10" s="13"/>
      <c r="R10" s="13"/>
      <c r="S10" s="13"/>
      <c r="T10" s="689"/>
      <c r="U10" s="690"/>
      <c r="V10" s="229"/>
      <c r="W10" s="230"/>
      <c r="X10" s="269" t="e">
        <f t="shared" si="2"/>
        <v>#N/A</v>
      </c>
      <c r="Y10" s="269" t="e">
        <f>VLOOKUP(Q10,Data!$QH$2:$QI$4,2,FALSE)</f>
        <v>#N/A</v>
      </c>
      <c r="AA10" s="269" t="e">
        <f t="shared" si="3"/>
        <v>#N/A</v>
      </c>
      <c r="AB10" s="172" t="str">
        <f>IF(COUNTIF($J$8:$J$57,Data!KF5),Data!KG5,"")</f>
        <v/>
      </c>
      <c r="AD10" s="172" t="e">
        <f>IF(#REF!=Data!$KK$2,Data!$KM$1,IF(#REF!=Data!$KK$3,Data!$KN$1,IF(#REF!=Data!$KK$4,Data!$KP$1,IF(#REF!=Data!$KK$5,Data!$KQ$1))))</f>
        <v>#REF!</v>
      </c>
      <c r="AE10" s="33" t="str">
        <f>IF(D10=Data!$W$10,Data!$QJ$1,Data!$QK$1)</f>
        <v>RollerControl</v>
      </c>
      <c r="AH10" s="33" t="b">
        <f>IF(Q10=Data!$PX$2,Data!$PZ$1,IF(Q10=Data!$PX$3,Data!$PY$1,IF(Q10=Data!$PX$4,Data!$QA$1)))</f>
        <v>0</v>
      </c>
      <c r="AJ10" s="33" t="b">
        <f>IF(Q10=Data!$PX$3,Data!$QB$1,IF(Q10=Data!$PX$2,Data!$QC$1,IF(Q10=Data!$PX$4,Data!$QD$1)))</f>
        <v>0</v>
      </c>
      <c r="AL10" s="33" t="str">
        <f>IF(D10=Data!$W$3,Data!$QF$1,IF(D10=Data!$W$4,Data!$QF$1,IF(D10=Data!$W$5,Data!$QF$1,IF(D10=Data!$W$6,Data!$QF$1,IF(D10=Data!$W$7,Data!$QF$1,IF(D10=Data!$W$8,Data!$QF$1,IF(D10=Data!$W$9,Data!$QF$1,IF(D10=Data!$W$10,Data!$QE$1,IF(D10=Data!$W$11,Data!$QF$1,IF(D10=Data!$W$12,Data!$QF$1,IF(D10=Data!$W$13,Data!$QF$1,IF(D10=Data!$W$14,Data!$QF$1,IF(D10=Data!$W$15,Data!$QF$1,IF(D10=Data!$W$16,Data!$QF$1))))))))))))))</f>
        <v>RollerBracketType2</v>
      </c>
      <c r="AV10" s="40" t="e">
        <f>IF(AND(G10&lt;2130, OR(#REF!&lt;2100)),Data!$KS$1,Data!$KT$1)</f>
        <v>#REF!</v>
      </c>
      <c r="AW10" s="172" t="e">
        <f>MATCH(#REF!,Data!$LA$1:$LD$1,0)</f>
        <v>#REF!</v>
      </c>
      <c r="AX10" s="172" t="e">
        <f>MATCH('Panel Glide Blinds'!AV10,Data!$KZ$2:$KZ$3,0)</f>
        <v>#REF!</v>
      </c>
      <c r="AY10" s="172" t="e">
        <f>INDEX(Data!$LA$2:$LD$3,'Panel Glide Blinds'!AX10,'Panel Glide Blinds'!AW10)</f>
        <v>#REF!</v>
      </c>
      <c r="BB10" s="172" t="e">
        <f>IF(#REF!=Data!$QK$2,Data!$QL$1,IF(#REF!=Data!$QK$3,Data!$QM$1,IF(#REF!=Data!$QK$4,Data!$QN$1,IF(#REF!=Data!$QK$5,Data!$QO$1,IF(#REF!=Data!$QK$6,Data!$QP$1,IF(#REF!=Data!$QK$7,Data!$QQ$1,IF(#REF!=Data!$QK$8,Data!$QR$1,IF(#REF!=Data!$QK$9,Data!$QS$1,IF(#REF!=Data!$QK$10,Data!$QT$1,IF(#REF!=Data!$QK$11,Data!$QU$1))))))))))</f>
        <v>#REF!</v>
      </c>
      <c r="BC10" s="33" t="e">
        <f>IF(#REF!=Data!$QK$2,Data!$QL$17,IF(#REF!=Data!$QK$3,Data!$QM$17,IF(#REF!=Data!$QK$4,Data!$QN$17,IF(#REF!=Data!$QK$5,Data!$QO$17,IF(#REF!=Data!$QK$6,Data!$QP$17,IF(#REF!=Data!$QK$7,Data!$QQ$17,IF(#REF!=Data!$QK$8,Data!$QR$17,IF(#REF!=Data!$QK$9,Data!$QS$17,IF(#REF!=Data!$QK$10,Data!$QT$17,IF(#REF!=Data!$QK$11,Data!$QU$17))))))))))</f>
        <v>#REF!</v>
      </c>
      <c r="BD10" s="33" t="e">
        <f>IF(#REF!=Data!$PU$2,Data!$PW$1,IF(#REF!=Data!$PU$3,Data!$PW$1,IF(#REF!=Data!$PU$4,Data!$PV$1,IF(#REF!=Data!$PU$5,Data!$PV$1,))))</f>
        <v>#REF!</v>
      </c>
      <c r="BE10" s="33" t="e">
        <f>MATCH('Panel Glide Blinds'!D10,Data!$AAK$2:$AAK$15)</f>
        <v>#N/A</v>
      </c>
      <c r="BF10" s="33" t="e">
        <f>MATCH(O10,Data!$AAL$1:$AAM$1)</f>
        <v>#N/A</v>
      </c>
      <c r="BG10" s="33" t="e">
        <f>INDEX(Data!$AAL$2:$AAM$15,BE10,BF10)</f>
        <v>#N/A</v>
      </c>
      <c r="BH10" s="33" t="b">
        <f>IF(O10=Data!$ABF$1,Data!$ABD$1,IF(O10=Data!$ABF$2,Data!$ABE$1))</f>
        <v>0</v>
      </c>
      <c r="BI10" s="33" t="e">
        <f>VLOOKUP(H10,Data!$ABL$2:$ABM$8,2,FALSE)</f>
        <v>#N/A</v>
      </c>
      <c r="BJ10" s="172" t="e">
        <f>VLOOKUP(H10,Data!$ABW$2:$ABX$9,2,FALSE)</f>
        <v>#N/A</v>
      </c>
      <c r="BK10" s="172" t="e">
        <f>VLOOKUP(H10,Data!$ABW$2:$ABY$8,3,FALSE)</f>
        <v>#N/A</v>
      </c>
      <c r="BL10" s="172" t="str">
        <f t="shared" si="0"/>
        <v/>
      </c>
      <c r="BM10" s="172" t="str">
        <f t="shared" si="1"/>
        <v/>
      </c>
      <c r="BN10" s="172" t="str">
        <f t="shared" si="4"/>
        <v/>
      </c>
      <c r="BO10" s="33" t="e">
        <f t="shared" si="5"/>
        <v>#DIV/0!</v>
      </c>
      <c r="BP10" s="33" t="e">
        <f t="shared" si="6"/>
        <v>#DIV/0!</v>
      </c>
      <c r="BQ10" s="33" t="e">
        <f t="shared" si="7"/>
        <v>#DIV/0!</v>
      </c>
      <c r="BR10" s="33" t="str">
        <f t="shared" si="8"/>
        <v/>
      </c>
    </row>
    <row r="11" spans="1:70" ht="30" customHeight="1" thickTop="1" thickBot="1">
      <c r="A11" s="52">
        <v>4</v>
      </c>
      <c r="B11" s="17"/>
      <c r="C11" s="17"/>
      <c r="D11" s="13"/>
      <c r="E11" s="15"/>
      <c r="F11" s="14"/>
      <c r="G11" s="14"/>
      <c r="H11" s="14"/>
      <c r="I11" s="13"/>
      <c r="J11" s="14"/>
      <c r="K11" s="14"/>
      <c r="L11" s="525"/>
      <c r="M11" s="526"/>
      <c r="N11" s="15"/>
      <c r="O11" s="15"/>
      <c r="P11" s="15"/>
      <c r="Q11" s="13"/>
      <c r="R11" s="13"/>
      <c r="S11" s="13"/>
      <c r="T11" s="689"/>
      <c r="U11" s="690"/>
      <c r="V11" s="229"/>
      <c r="W11" s="230"/>
      <c r="X11" s="269" t="e">
        <f t="shared" si="2"/>
        <v>#N/A</v>
      </c>
      <c r="Y11" s="269" t="e">
        <f>VLOOKUP(Q11,Data!$QH$2:$QI$4,2,FALSE)</f>
        <v>#N/A</v>
      </c>
      <c r="AA11" s="269" t="e">
        <f t="shared" si="3"/>
        <v>#N/A</v>
      </c>
      <c r="AB11" s="172" t="str">
        <f>IF(COUNTIF($J$8:$J$57,Data!KF6),Data!KG6,"")</f>
        <v/>
      </c>
      <c r="AD11" s="172" t="e">
        <f>IF(#REF!=Data!$KK$2,Data!$KM$1,IF(#REF!=Data!$KK$3,Data!$KN$1,IF(#REF!=Data!$KK$4,Data!$KP$1,IF(#REF!=Data!$KK$5,Data!$KQ$1))))</f>
        <v>#REF!</v>
      </c>
      <c r="AE11" s="33" t="str">
        <f>IF(D11=Data!$W$10,Data!$QJ$1,Data!$QK$1)</f>
        <v>RollerControl</v>
      </c>
      <c r="AH11" s="33" t="b">
        <f>IF(Q11=Data!$PX$2,Data!$PZ$1,IF(Q11=Data!$PX$3,Data!$PY$1,IF(Q11=Data!$PX$4,Data!$QA$1)))</f>
        <v>0</v>
      </c>
      <c r="AJ11" s="33" t="b">
        <f>IF(Q11=Data!$PX$3,Data!$QB$1,IF(Q11=Data!$PX$2,Data!$QC$1,IF(Q11=Data!$PX$4,Data!$QD$1)))</f>
        <v>0</v>
      </c>
      <c r="AL11" s="33" t="str">
        <f>IF(D11=Data!$W$3,Data!$QF$1,IF(D11=Data!$W$4,Data!$QF$1,IF(D11=Data!$W$5,Data!$QF$1,IF(D11=Data!$W$6,Data!$QF$1,IF(D11=Data!$W$7,Data!$QF$1,IF(D11=Data!$W$8,Data!$QF$1,IF(D11=Data!$W$9,Data!$QF$1,IF(D11=Data!$W$10,Data!$QE$1,IF(D11=Data!$W$11,Data!$QF$1,IF(D11=Data!$W$12,Data!$QF$1,IF(D11=Data!$W$13,Data!$QF$1,IF(D11=Data!$W$14,Data!$QF$1,IF(D11=Data!$W$15,Data!$QF$1,IF(D11=Data!$W$16,Data!$QF$1))))))))))))))</f>
        <v>RollerBracketType2</v>
      </c>
      <c r="AV11" s="40" t="e">
        <f>IF(AND(G11&lt;2130, OR(#REF!&lt;2100)),Data!$KS$1,Data!$KT$1)</f>
        <v>#REF!</v>
      </c>
      <c r="AW11" s="172" t="e">
        <f>MATCH(#REF!,Data!$LA$1:$LD$1,0)</f>
        <v>#REF!</v>
      </c>
      <c r="AX11" s="172" t="e">
        <f>MATCH('Panel Glide Blinds'!AV11,Data!$KZ$2:$KZ$3,0)</f>
        <v>#REF!</v>
      </c>
      <c r="AY11" s="172" t="e">
        <f>INDEX(Data!$LA$2:$LD$3,'Panel Glide Blinds'!AX11,'Panel Glide Blinds'!AW11)</f>
        <v>#REF!</v>
      </c>
      <c r="BB11" s="172" t="e">
        <f>IF(#REF!=Data!$QK$2,Data!$QL$1,IF(#REF!=Data!$QK$3,Data!$QM$1,IF(#REF!=Data!$QK$4,Data!$QN$1,IF(#REF!=Data!$QK$5,Data!$QO$1,IF(#REF!=Data!$QK$6,Data!$QP$1,IF(#REF!=Data!$QK$7,Data!$QQ$1,IF(#REF!=Data!$QK$8,Data!$QR$1,IF(#REF!=Data!$QK$9,Data!$QS$1,IF(#REF!=Data!$QK$10,Data!$QT$1,IF(#REF!=Data!$QK$11,Data!$QU$1))))))))))</f>
        <v>#REF!</v>
      </c>
      <c r="BC11" s="33" t="e">
        <f>IF(#REF!=Data!$QK$2,Data!$QL$17,IF(#REF!=Data!$QK$3,Data!$QM$17,IF(#REF!=Data!$QK$4,Data!$QN$17,IF(#REF!=Data!$QK$5,Data!$QO$17,IF(#REF!=Data!$QK$6,Data!$QP$17,IF(#REF!=Data!$QK$7,Data!$QQ$17,IF(#REF!=Data!$QK$8,Data!$QR$17,IF(#REF!=Data!$QK$9,Data!$QS$17,IF(#REF!=Data!$QK$10,Data!$QT$17,IF(#REF!=Data!$QK$11,Data!$QU$17))))))))))</f>
        <v>#REF!</v>
      </c>
      <c r="BD11" s="33" t="e">
        <f>IF(#REF!=Data!$PU$2,Data!$PW$1,IF(#REF!=Data!$PU$3,Data!$PW$1,IF(#REF!=Data!$PU$4,Data!$PV$1,IF(#REF!=Data!$PU$5,Data!$PV$1,))))</f>
        <v>#REF!</v>
      </c>
      <c r="BE11" s="33" t="e">
        <f>MATCH('Panel Glide Blinds'!D11,Data!$AAK$2:$AAK$15)</f>
        <v>#N/A</v>
      </c>
      <c r="BF11" s="33" t="e">
        <f>MATCH(O11,Data!$AAL$1:$AAM$1)</f>
        <v>#N/A</v>
      </c>
      <c r="BG11" s="33" t="e">
        <f>INDEX(Data!$AAL$2:$AAM$15,BE11,BF11)</f>
        <v>#N/A</v>
      </c>
      <c r="BH11" s="33" t="b">
        <f>IF(O11=Data!$ABF$1,Data!$ABD$1,IF(O11=Data!$ABF$2,Data!$ABE$1))</f>
        <v>0</v>
      </c>
      <c r="BI11" s="33" t="e">
        <f>VLOOKUP(H11,Data!$ABL$2:$ABM$8,2,FALSE)</f>
        <v>#N/A</v>
      </c>
      <c r="BJ11" s="172" t="e">
        <f>VLOOKUP(H11,Data!$ABW$2:$ABX$9,2,FALSE)</f>
        <v>#N/A</v>
      </c>
      <c r="BK11" s="172" t="e">
        <f>VLOOKUP(H11,Data!$ABW$2:$ABY$8,3,FALSE)</f>
        <v>#N/A</v>
      </c>
      <c r="BL11" s="172" t="str">
        <f t="shared" si="0"/>
        <v/>
      </c>
      <c r="BM11" s="172" t="str">
        <f t="shared" si="1"/>
        <v/>
      </c>
      <c r="BN11" s="172" t="str">
        <f t="shared" si="4"/>
        <v/>
      </c>
      <c r="BO11" s="33" t="e">
        <f t="shared" si="5"/>
        <v>#DIV/0!</v>
      </c>
      <c r="BP11" s="33" t="e">
        <f t="shared" si="6"/>
        <v>#DIV/0!</v>
      </c>
      <c r="BQ11" s="33" t="e">
        <f t="shared" si="7"/>
        <v>#DIV/0!</v>
      </c>
      <c r="BR11" s="33" t="str">
        <f t="shared" si="8"/>
        <v/>
      </c>
    </row>
    <row r="12" spans="1:70" ht="30" customHeight="1" thickTop="1" thickBot="1">
      <c r="A12" s="52">
        <v>5</v>
      </c>
      <c r="B12" s="17"/>
      <c r="C12" s="17"/>
      <c r="D12" s="13"/>
      <c r="E12" s="15"/>
      <c r="F12" s="14"/>
      <c r="G12" s="14"/>
      <c r="H12" s="14"/>
      <c r="I12" s="13"/>
      <c r="J12" s="14"/>
      <c r="K12" s="14"/>
      <c r="L12" s="525"/>
      <c r="M12" s="526"/>
      <c r="N12" s="15"/>
      <c r="O12" s="15"/>
      <c r="P12" s="15"/>
      <c r="Q12" s="13"/>
      <c r="R12" s="13"/>
      <c r="S12" s="13"/>
      <c r="T12" s="689"/>
      <c r="U12" s="690"/>
      <c r="V12" s="229"/>
      <c r="W12" s="230"/>
      <c r="X12" s="269" t="e">
        <f t="shared" si="2"/>
        <v>#N/A</v>
      </c>
      <c r="Y12" s="269" t="e">
        <f>VLOOKUP(Q12,Data!$QH$2:$QI$4,2,FALSE)</f>
        <v>#N/A</v>
      </c>
      <c r="AA12" s="269" t="e">
        <f t="shared" si="3"/>
        <v>#N/A</v>
      </c>
      <c r="AB12" s="172" t="str">
        <f>IF(COUNTIF($J$8:$J$57,Data!KF7),Data!KG7,"")</f>
        <v/>
      </c>
      <c r="AD12" s="172" t="e">
        <f>IF(#REF!=Data!$KK$2,Data!$KM$1,IF(#REF!=Data!$KK$3,Data!$KN$1,IF(#REF!=Data!$KK$4,Data!$KP$1,IF(#REF!=Data!$KK$5,Data!$KQ$1))))</f>
        <v>#REF!</v>
      </c>
      <c r="AE12" s="33" t="str">
        <f>IF(D12=Data!$W$10,Data!$QJ$1,Data!$QK$1)</f>
        <v>RollerControl</v>
      </c>
      <c r="AH12" s="33" t="b">
        <f>IF(Q12=Data!$PX$2,Data!$PZ$1,IF(Q12=Data!$PX$3,Data!$PY$1,IF(Q12=Data!$PX$4,Data!$QA$1)))</f>
        <v>0</v>
      </c>
      <c r="AJ12" s="33" t="b">
        <f>IF(Q12=Data!$PX$3,Data!$QB$1,IF(Q12=Data!$PX$2,Data!$QC$1,IF(Q12=Data!$PX$4,Data!$QD$1)))</f>
        <v>0</v>
      </c>
      <c r="AL12" s="33" t="str">
        <f>IF(D12=Data!$W$3,Data!$QF$1,IF(D12=Data!$W$4,Data!$QF$1,IF(D12=Data!$W$5,Data!$QF$1,IF(D12=Data!$W$6,Data!$QF$1,IF(D12=Data!$W$7,Data!$QF$1,IF(D12=Data!$W$8,Data!$QF$1,IF(D12=Data!$W$9,Data!$QF$1,IF(D12=Data!$W$10,Data!$QE$1,IF(D12=Data!$W$11,Data!$QF$1,IF(D12=Data!$W$12,Data!$QF$1,IF(D12=Data!$W$13,Data!$QF$1,IF(D12=Data!$W$14,Data!$QF$1,IF(D12=Data!$W$15,Data!$QF$1,IF(D12=Data!$W$16,Data!$QF$1))))))))))))))</f>
        <v>RollerBracketType2</v>
      </c>
      <c r="AV12" s="40" t="e">
        <f>IF(AND(G12&lt;2130, OR(#REF!&lt;2100)),Data!$KS$1,Data!$KT$1)</f>
        <v>#REF!</v>
      </c>
      <c r="AW12" s="172" t="e">
        <f>MATCH(#REF!,Data!$LA$1:$LD$1,0)</f>
        <v>#REF!</v>
      </c>
      <c r="AX12" s="172" t="e">
        <f>MATCH('Panel Glide Blinds'!AV12,Data!$KZ$2:$KZ$3,0)</f>
        <v>#REF!</v>
      </c>
      <c r="AY12" s="172" t="e">
        <f>INDEX(Data!$LA$2:$LD$3,'Panel Glide Blinds'!AX12,'Panel Glide Blinds'!AW12)</f>
        <v>#REF!</v>
      </c>
      <c r="BB12" s="172" t="e">
        <f>IF(#REF!=Data!$QK$2,Data!$QL$1,IF(#REF!=Data!$QK$3,Data!$QM$1,IF(#REF!=Data!$QK$4,Data!$QN$1,IF(#REF!=Data!$QK$5,Data!$QO$1,IF(#REF!=Data!$QK$6,Data!$QP$1,IF(#REF!=Data!$QK$7,Data!$QQ$1,IF(#REF!=Data!$QK$8,Data!$QR$1,IF(#REF!=Data!$QK$9,Data!$QS$1,IF(#REF!=Data!$QK$10,Data!$QT$1,IF(#REF!=Data!$QK$11,Data!$QU$1))))))))))</f>
        <v>#REF!</v>
      </c>
      <c r="BC12" s="33" t="e">
        <f>IF(#REF!=Data!$QK$2,Data!$QL$17,IF(#REF!=Data!$QK$3,Data!$QM$17,IF(#REF!=Data!$QK$4,Data!$QN$17,IF(#REF!=Data!$QK$5,Data!$QO$17,IF(#REF!=Data!$QK$6,Data!$QP$17,IF(#REF!=Data!$QK$7,Data!$QQ$17,IF(#REF!=Data!$QK$8,Data!$QR$17,IF(#REF!=Data!$QK$9,Data!$QS$17,IF(#REF!=Data!$QK$10,Data!$QT$17,IF(#REF!=Data!$QK$11,Data!$QU$17))))))))))</f>
        <v>#REF!</v>
      </c>
      <c r="BD12" s="33" t="e">
        <f>IF(#REF!=Data!$PU$2,Data!$PW$1,IF(#REF!=Data!$PU$3,Data!$PW$1,IF(#REF!=Data!$PU$4,Data!$PV$1,IF(#REF!=Data!$PU$5,Data!$PV$1,))))</f>
        <v>#REF!</v>
      </c>
      <c r="BE12" s="33" t="e">
        <f>MATCH('Panel Glide Blinds'!D12,Data!$AAK$2:$AAK$15)</f>
        <v>#N/A</v>
      </c>
      <c r="BF12" s="33" t="e">
        <f>MATCH(O12,Data!$AAL$1:$AAM$1)</f>
        <v>#N/A</v>
      </c>
      <c r="BG12" s="33" t="e">
        <f>INDEX(Data!$AAL$2:$AAM$15,BE12,BF12)</f>
        <v>#N/A</v>
      </c>
      <c r="BH12" s="33" t="b">
        <f>IF(O12=Data!$ABF$1,Data!$ABD$1,IF(O12=Data!$ABF$2,Data!$ABE$1))</f>
        <v>0</v>
      </c>
      <c r="BI12" s="33" t="e">
        <f>VLOOKUP(H12,Data!$ABL$2:$ABM$8,2,FALSE)</f>
        <v>#N/A</v>
      </c>
      <c r="BJ12" s="172" t="e">
        <f>VLOOKUP(H12,Data!$ABW$2:$ABX$9,2,FALSE)</f>
        <v>#N/A</v>
      </c>
      <c r="BK12" s="172" t="e">
        <f>VLOOKUP(H12,Data!$ABW$2:$ABY$8,3,FALSE)</f>
        <v>#N/A</v>
      </c>
      <c r="BL12" s="172" t="str">
        <f t="shared" si="0"/>
        <v/>
      </c>
      <c r="BM12" s="172" t="str">
        <f t="shared" si="1"/>
        <v/>
      </c>
      <c r="BN12" s="172" t="str">
        <f t="shared" si="4"/>
        <v/>
      </c>
      <c r="BO12" s="33" t="e">
        <f t="shared" si="5"/>
        <v>#DIV/0!</v>
      </c>
      <c r="BP12" s="33" t="e">
        <f t="shared" si="6"/>
        <v>#DIV/0!</v>
      </c>
      <c r="BQ12" s="33" t="e">
        <f t="shared" si="7"/>
        <v>#DIV/0!</v>
      </c>
      <c r="BR12" s="33" t="str">
        <f t="shared" si="8"/>
        <v/>
      </c>
    </row>
    <row r="13" spans="1:70" ht="30" customHeight="1" thickTop="1" thickBot="1">
      <c r="A13" s="52">
        <v>6</v>
      </c>
      <c r="B13" s="17"/>
      <c r="C13" s="17"/>
      <c r="D13" s="13"/>
      <c r="E13" s="15"/>
      <c r="F13" s="14"/>
      <c r="G13" s="14"/>
      <c r="H13" s="14"/>
      <c r="I13" s="13"/>
      <c r="J13" s="14"/>
      <c r="K13" s="14"/>
      <c r="L13" s="525"/>
      <c r="M13" s="526"/>
      <c r="N13" s="15"/>
      <c r="O13" s="15"/>
      <c r="P13" s="15"/>
      <c r="Q13" s="13"/>
      <c r="R13" s="13"/>
      <c r="S13" s="13"/>
      <c r="T13" s="689"/>
      <c r="U13" s="690"/>
      <c r="V13" s="229"/>
      <c r="W13" s="230"/>
      <c r="X13" s="269" t="e">
        <f t="shared" si="2"/>
        <v>#N/A</v>
      </c>
      <c r="Y13" s="269" t="e">
        <f>VLOOKUP(Q13,Data!$QH$2:$QI$4,2,FALSE)</f>
        <v>#N/A</v>
      </c>
      <c r="AA13" s="269" t="e">
        <f t="shared" si="3"/>
        <v>#N/A</v>
      </c>
      <c r="AB13" s="172" t="str">
        <f>IF(COUNTIF($J$8:$J$57,Data!KF8),Data!KG8,"")</f>
        <v/>
      </c>
      <c r="AD13" s="172" t="e">
        <f>IF(#REF!=Data!$KK$2,Data!$KM$1,IF(#REF!=Data!$KK$3,Data!$KN$1,IF(#REF!=Data!$KK$4,Data!$KP$1,IF(#REF!=Data!$KK$5,Data!$KQ$1))))</f>
        <v>#REF!</v>
      </c>
      <c r="AE13" s="33" t="str">
        <f>IF(D13=Data!$W$10,Data!$QJ$1,Data!$QK$1)</f>
        <v>RollerControl</v>
      </c>
      <c r="AH13" s="33" t="b">
        <f>IF(Q13=Data!$PX$2,Data!$PZ$1,IF(Q13=Data!$PX$3,Data!$PY$1,IF(Q13=Data!$PX$4,Data!$QA$1)))</f>
        <v>0</v>
      </c>
      <c r="AJ13" s="33" t="b">
        <f>IF(Q13=Data!$PX$3,Data!$QB$1,IF(Q13=Data!$PX$2,Data!$QC$1,IF(Q13=Data!$PX$4,Data!$QD$1)))</f>
        <v>0</v>
      </c>
      <c r="AL13" s="33" t="str">
        <f>IF(D13=Data!$W$3,Data!$QF$1,IF(D13=Data!$W$4,Data!$QF$1,IF(D13=Data!$W$5,Data!$QF$1,IF(D13=Data!$W$6,Data!$QF$1,IF(D13=Data!$W$7,Data!$QF$1,IF(D13=Data!$W$8,Data!$QF$1,IF(D13=Data!$W$9,Data!$QF$1,IF(D13=Data!$W$10,Data!$QE$1,IF(D13=Data!$W$11,Data!$QF$1,IF(D13=Data!$W$12,Data!$QF$1,IF(D13=Data!$W$13,Data!$QF$1,IF(D13=Data!$W$14,Data!$QF$1,IF(D13=Data!$W$15,Data!$QF$1,IF(D13=Data!$W$16,Data!$QF$1))))))))))))))</f>
        <v>RollerBracketType2</v>
      </c>
      <c r="AV13" s="40" t="e">
        <f>IF(AND(G13&lt;2130, OR(#REF!&lt;2100)),Data!$KS$1,Data!$KT$1)</f>
        <v>#REF!</v>
      </c>
      <c r="AW13" s="172" t="e">
        <f>MATCH(#REF!,Data!$LA$1:$LD$1,0)</f>
        <v>#REF!</v>
      </c>
      <c r="AX13" s="172" t="e">
        <f>MATCH('Panel Glide Blinds'!AV13,Data!$KZ$2:$KZ$3,0)</f>
        <v>#REF!</v>
      </c>
      <c r="AY13" s="172" t="e">
        <f>INDEX(Data!$LA$2:$LD$3,'Panel Glide Blinds'!AX13,'Panel Glide Blinds'!AW13)</f>
        <v>#REF!</v>
      </c>
      <c r="BB13" s="172" t="e">
        <f>IF(#REF!=Data!$QK$2,Data!$QL$1,IF(#REF!=Data!$QK$3,Data!$QM$1,IF(#REF!=Data!$QK$4,Data!$QN$1,IF(#REF!=Data!$QK$5,Data!$QO$1,IF(#REF!=Data!$QK$6,Data!$QP$1,IF(#REF!=Data!$QK$7,Data!$QQ$1,IF(#REF!=Data!$QK$8,Data!$QR$1,IF(#REF!=Data!$QK$9,Data!$QS$1,IF(#REF!=Data!$QK$10,Data!$QT$1,IF(#REF!=Data!$QK$11,Data!$QU$1))))))))))</f>
        <v>#REF!</v>
      </c>
      <c r="BC13" s="33" t="e">
        <f>IF(#REF!=Data!$QK$2,Data!$QL$17,IF(#REF!=Data!$QK$3,Data!$QM$17,IF(#REF!=Data!$QK$4,Data!$QN$17,IF(#REF!=Data!$QK$5,Data!$QO$17,IF(#REF!=Data!$QK$6,Data!$QP$17,IF(#REF!=Data!$QK$7,Data!$QQ$17,IF(#REF!=Data!$QK$8,Data!$QR$17,IF(#REF!=Data!$QK$9,Data!$QS$17,IF(#REF!=Data!$QK$10,Data!$QT$17,IF(#REF!=Data!$QK$11,Data!$QU$17))))))))))</f>
        <v>#REF!</v>
      </c>
      <c r="BD13" s="33" t="e">
        <f>IF(#REF!=Data!$PU$2,Data!$PW$1,IF(#REF!=Data!$PU$3,Data!$PW$1,IF(#REF!=Data!$PU$4,Data!$PV$1,IF(#REF!=Data!$PU$5,Data!$PV$1,))))</f>
        <v>#REF!</v>
      </c>
      <c r="BE13" s="33" t="e">
        <f>MATCH('Panel Glide Blinds'!D13,Data!$AAK$2:$AAK$15)</f>
        <v>#N/A</v>
      </c>
      <c r="BF13" s="33" t="e">
        <f>MATCH(O13,Data!$AAL$1:$AAM$1)</f>
        <v>#N/A</v>
      </c>
      <c r="BG13" s="33" t="e">
        <f>INDEX(Data!$AAL$2:$AAM$15,BE13,BF13)</f>
        <v>#N/A</v>
      </c>
      <c r="BH13" s="33" t="b">
        <f>IF(O13=Data!$ABF$1,Data!$ABD$1,IF(O13=Data!$ABF$2,Data!$ABE$1))</f>
        <v>0</v>
      </c>
      <c r="BI13" s="33" t="e">
        <f>VLOOKUP(H13,Data!$ABL$2:$ABM$8,2,FALSE)</f>
        <v>#N/A</v>
      </c>
      <c r="BJ13" s="172" t="e">
        <f>VLOOKUP(H13,Data!$ABW$2:$ABX$9,2,FALSE)</f>
        <v>#N/A</v>
      </c>
      <c r="BK13" s="172" t="e">
        <f>VLOOKUP(H13,Data!$ABW$2:$ABY$8,3,FALSE)</f>
        <v>#N/A</v>
      </c>
      <c r="BL13" s="172" t="str">
        <f t="shared" si="0"/>
        <v/>
      </c>
      <c r="BM13" s="172" t="str">
        <f t="shared" si="1"/>
        <v/>
      </c>
      <c r="BN13" s="172" t="str">
        <f t="shared" si="4"/>
        <v/>
      </c>
      <c r="BO13" s="33" t="e">
        <f t="shared" si="5"/>
        <v>#DIV/0!</v>
      </c>
      <c r="BP13" s="33" t="e">
        <f t="shared" si="6"/>
        <v>#DIV/0!</v>
      </c>
      <c r="BQ13" s="33" t="e">
        <f t="shared" si="7"/>
        <v>#DIV/0!</v>
      </c>
      <c r="BR13" s="33" t="str">
        <f t="shared" si="8"/>
        <v/>
      </c>
    </row>
    <row r="14" spans="1:70" ht="30" customHeight="1" thickTop="1" thickBot="1">
      <c r="A14" s="52">
        <v>7</v>
      </c>
      <c r="B14" s="17"/>
      <c r="C14" s="17"/>
      <c r="D14" s="13"/>
      <c r="E14" s="15"/>
      <c r="F14" s="14"/>
      <c r="G14" s="14"/>
      <c r="H14" s="14"/>
      <c r="I14" s="13"/>
      <c r="J14" s="14"/>
      <c r="K14" s="14"/>
      <c r="L14" s="525"/>
      <c r="M14" s="526"/>
      <c r="N14" s="15"/>
      <c r="O14" s="15"/>
      <c r="P14" s="15"/>
      <c r="Q14" s="13"/>
      <c r="R14" s="13"/>
      <c r="S14" s="13"/>
      <c r="T14" s="689"/>
      <c r="U14" s="690"/>
      <c r="V14" s="229"/>
      <c r="W14" s="230"/>
      <c r="X14" s="269" t="e">
        <f t="shared" si="2"/>
        <v>#N/A</v>
      </c>
      <c r="Y14" s="269" t="e">
        <f>VLOOKUP(Q14,Data!$QH$2:$QI$4,2,FALSE)</f>
        <v>#N/A</v>
      </c>
      <c r="AA14" s="269" t="e">
        <f t="shared" si="3"/>
        <v>#N/A</v>
      </c>
      <c r="AB14" s="172" t="str">
        <f>IF(COUNTIF($J$8:$J$57,Data!KF9),Data!KG9,"")</f>
        <v/>
      </c>
      <c r="AD14" s="172" t="e">
        <f>IF(#REF!=Data!$KK$2,Data!$KM$1,IF(#REF!=Data!$KK$3,Data!$KN$1,IF(#REF!=Data!$KK$4,Data!$KP$1,IF(#REF!=Data!$KK$5,Data!$KQ$1))))</f>
        <v>#REF!</v>
      </c>
      <c r="AE14" s="33" t="str">
        <f>IF(D14=Data!$W$10,Data!$QJ$1,Data!$QK$1)</f>
        <v>RollerControl</v>
      </c>
      <c r="AH14" s="33" t="b">
        <f>IF(Q14=Data!$PX$2,Data!$PZ$1,IF(Q14=Data!$PX$3,Data!$PY$1,IF(Q14=Data!$PX$4,Data!$QA$1)))</f>
        <v>0</v>
      </c>
      <c r="AJ14" s="33" t="b">
        <f>IF(Q14=Data!$PX$3,Data!$QB$1,IF(Q14=Data!$PX$2,Data!$QC$1,IF(Q14=Data!$PX$4,Data!$QD$1)))</f>
        <v>0</v>
      </c>
      <c r="AL14" s="33" t="str">
        <f>IF(D14=Data!$W$3,Data!$QF$1,IF(D14=Data!$W$4,Data!$QF$1,IF(D14=Data!$W$5,Data!$QF$1,IF(D14=Data!$W$6,Data!$QF$1,IF(D14=Data!$W$7,Data!$QF$1,IF(D14=Data!$W$8,Data!$QF$1,IF(D14=Data!$W$9,Data!$QF$1,IF(D14=Data!$W$10,Data!$QE$1,IF(D14=Data!$W$11,Data!$QF$1,IF(D14=Data!$W$12,Data!$QF$1,IF(D14=Data!$W$13,Data!$QF$1,IF(D14=Data!$W$14,Data!$QF$1,IF(D14=Data!$W$15,Data!$QF$1,IF(D14=Data!$W$16,Data!$QF$1))))))))))))))</f>
        <v>RollerBracketType2</v>
      </c>
      <c r="AV14" s="40" t="e">
        <f>IF(AND(G14&lt;2130, OR(#REF!&lt;2100)),Data!$KS$1,Data!$KT$1)</f>
        <v>#REF!</v>
      </c>
      <c r="AW14" s="172" t="e">
        <f>MATCH(#REF!,Data!$LA$1:$LD$1,0)</f>
        <v>#REF!</v>
      </c>
      <c r="AX14" s="172" t="e">
        <f>MATCH('Panel Glide Blinds'!AV14,Data!$KZ$2:$KZ$3,0)</f>
        <v>#REF!</v>
      </c>
      <c r="AY14" s="172" t="e">
        <f>INDEX(Data!$LA$2:$LD$3,'Panel Glide Blinds'!AX14,'Panel Glide Blinds'!AW14)</f>
        <v>#REF!</v>
      </c>
      <c r="BB14" s="172" t="e">
        <f>IF(#REF!=Data!$QK$2,Data!$QL$1,IF(#REF!=Data!$QK$3,Data!$QM$1,IF(#REF!=Data!$QK$4,Data!$QN$1,IF(#REF!=Data!$QK$5,Data!$QO$1,IF(#REF!=Data!$QK$6,Data!$QP$1,IF(#REF!=Data!$QK$7,Data!$QQ$1,IF(#REF!=Data!$QK$8,Data!$QR$1,IF(#REF!=Data!$QK$9,Data!$QS$1,IF(#REF!=Data!$QK$10,Data!$QT$1,IF(#REF!=Data!$QK$11,Data!$QU$1))))))))))</f>
        <v>#REF!</v>
      </c>
      <c r="BC14" s="33" t="e">
        <f>IF(#REF!=Data!$QK$2,Data!$QL$17,IF(#REF!=Data!$QK$3,Data!$QM$17,IF(#REF!=Data!$QK$4,Data!$QN$17,IF(#REF!=Data!$QK$5,Data!$QO$17,IF(#REF!=Data!$QK$6,Data!$QP$17,IF(#REF!=Data!$QK$7,Data!$QQ$17,IF(#REF!=Data!$QK$8,Data!$QR$17,IF(#REF!=Data!$QK$9,Data!$QS$17,IF(#REF!=Data!$QK$10,Data!$QT$17,IF(#REF!=Data!$QK$11,Data!$QU$17))))))))))</f>
        <v>#REF!</v>
      </c>
      <c r="BD14" s="33" t="e">
        <f>IF(#REF!=Data!$PU$2,Data!$PW$1,IF(#REF!=Data!$PU$3,Data!$PW$1,IF(#REF!=Data!$PU$4,Data!$PV$1,IF(#REF!=Data!$PU$5,Data!$PV$1,))))</f>
        <v>#REF!</v>
      </c>
      <c r="BE14" s="33" t="e">
        <f>MATCH('Panel Glide Blinds'!D14,Data!$AAK$2:$AAK$15)</f>
        <v>#N/A</v>
      </c>
      <c r="BF14" s="33" t="e">
        <f>MATCH(O14,Data!$AAL$1:$AAM$1)</f>
        <v>#N/A</v>
      </c>
      <c r="BG14" s="33" t="e">
        <f>INDEX(Data!$AAL$2:$AAM$15,BE14,BF14)</f>
        <v>#N/A</v>
      </c>
      <c r="BH14" s="33" t="b">
        <f>IF(O14=Data!$ABF$1,Data!$ABD$1,IF(O14=Data!$ABF$2,Data!$ABE$1))</f>
        <v>0</v>
      </c>
      <c r="BI14" s="33" t="e">
        <f>VLOOKUP(H14,Data!$ABL$2:$ABM$8,2,FALSE)</f>
        <v>#N/A</v>
      </c>
      <c r="BJ14" s="172" t="e">
        <f>VLOOKUP(H14,Data!$ABW$2:$ABX$9,2,FALSE)</f>
        <v>#N/A</v>
      </c>
      <c r="BK14" s="172" t="e">
        <f>VLOOKUP(H14,Data!$ABW$2:$ABY$8,3,FALSE)</f>
        <v>#N/A</v>
      </c>
      <c r="BL14" s="172" t="str">
        <f t="shared" si="0"/>
        <v/>
      </c>
      <c r="BM14" s="172" t="str">
        <f t="shared" si="1"/>
        <v/>
      </c>
      <c r="BN14" s="172" t="str">
        <f t="shared" si="4"/>
        <v/>
      </c>
      <c r="BO14" s="33" t="e">
        <f t="shared" si="5"/>
        <v>#DIV/0!</v>
      </c>
      <c r="BP14" s="33" t="e">
        <f t="shared" si="6"/>
        <v>#DIV/0!</v>
      </c>
      <c r="BQ14" s="33" t="e">
        <f t="shared" si="7"/>
        <v>#DIV/0!</v>
      </c>
      <c r="BR14" s="33" t="str">
        <f t="shared" si="8"/>
        <v/>
      </c>
    </row>
    <row r="15" spans="1:70" ht="30" customHeight="1" thickTop="1" thickBot="1">
      <c r="A15" s="52">
        <v>8</v>
      </c>
      <c r="B15" s="17"/>
      <c r="C15" s="17"/>
      <c r="D15" s="19"/>
      <c r="E15" s="15"/>
      <c r="F15" s="14"/>
      <c r="G15" s="14"/>
      <c r="H15" s="14"/>
      <c r="I15" s="13"/>
      <c r="J15" s="14"/>
      <c r="K15" s="14"/>
      <c r="L15" s="525"/>
      <c r="M15" s="526"/>
      <c r="N15" s="15"/>
      <c r="O15" s="15"/>
      <c r="P15" s="15"/>
      <c r="Q15" s="13"/>
      <c r="R15" s="13"/>
      <c r="S15" s="13"/>
      <c r="T15" s="689"/>
      <c r="U15" s="690"/>
      <c r="V15" s="229"/>
      <c r="W15" s="230"/>
      <c r="X15" s="269" t="e">
        <f t="shared" si="2"/>
        <v>#N/A</v>
      </c>
      <c r="Y15" s="269" t="e">
        <f>VLOOKUP(Q15,Data!$QH$2:$QI$4,2,FALSE)</f>
        <v>#N/A</v>
      </c>
      <c r="AA15" s="269" t="e">
        <f t="shared" si="3"/>
        <v>#N/A</v>
      </c>
      <c r="AB15" s="172" t="str">
        <f>IF(COUNTIF(AB8:AB14,Data!KG6),Data!KH6,"")</f>
        <v/>
      </c>
      <c r="AD15" s="172" t="e">
        <f>IF(#REF!=Data!$KK$2,Data!$KM$1,IF(#REF!=Data!$KK$3,Data!$KN$1,IF(#REF!=Data!$KK$4,Data!$KP$1,IF(#REF!=Data!$KK$5,Data!$KQ$1))))</f>
        <v>#REF!</v>
      </c>
      <c r="AE15" s="33" t="str">
        <f>IF(D15=Data!$W$10,Data!$QJ$1,Data!$QK$1)</f>
        <v>RollerControl</v>
      </c>
      <c r="AH15" s="33" t="b">
        <f>IF(Q15=Data!$PX$2,Data!$PZ$1,IF(Q15=Data!$PX$3,Data!$PY$1,IF(Q15=Data!$PX$4,Data!$QA$1)))</f>
        <v>0</v>
      </c>
      <c r="AJ15" s="33" t="b">
        <f>IF(Q15=Data!$PX$3,Data!$QB$1,IF(Q15=Data!$PX$2,Data!$QC$1,IF(Q15=Data!$PX$4,Data!$QD$1)))</f>
        <v>0</v>
      </c>
      <c r="AL15" s="33" t="str">
        <f>IF(D15=Data!$W$3,Data!$QF$1,IF(D15=Data!$W$4,Data!$QF$1,IF(D15=Data!$W$5,Data!$QF$1,IF(D15=Data!$W$6,Data!$QF$1,IF(D15=Data!$W$7,Data!$QF$1,IF(D15=Data!$W$8,Data!$QF$1,IF(D15=Data!$W$9,Data!$QF$1,IF(D15=Data!$W$10,Data!$QE$1,IF(D15=Data!$W$11,Data!$QF$1,IF(D15=Data!$W$12,Data!$QF$1,IF(D15=Data!$W$13,Data!$QF$1,IF(D15=Data!$W$14,Data!$QF$1,IF(D15=Data!$W$15,Data!$QF$1,IF(D15=Data!$W$16,Data!$QF$1))))))))))))))</f>
        <v>RollerBracketType2</v>
      </c>
      <c r="AV15" s="40" t="e">
        <f>IF(AND(G15&lt;2130, OR(#REF!&lt;2100)),Data!$KS$1,Data!$KT$1)</f>
        <v>#REF!</v>
      </c>
      <c r="AW15" s="172" t="e">
        <f>MATCH(#REF!,Data!$LA$1:$LD$1,0)</f>
        <v>#REF!</v>
      </c>
      <c r="AX15" s="172" t="e">
        <f>MATCH('Panel Glide Blinds'!AV15,Data!$KZ$2:$KZ$3,0)</f>
        <v>#REF!</v>
      </c>
      <c r="AY15" s="172" t="e">
        <f>INDEX(Data!$LA$2:$LD$3,'Panel Glide Blinds'!AX15,'Panel Glide Blinds'!AW15)</f>
        <v>#REF!</v>
      </c>
      <c r="BB15" s="172" t="e">
        <f>IF(#REF!=Data!$QK$2,Data!$QL$1,IF(#REF!=Data!$QK$3,Data!$QM$1,IF(#REF!=Data!$QK$4,Data!$QN$1,IF(#REF!=Data!$QK$5,Data!$QO$1,IF(#REF!=Data!$QK$6,Data!$QP$1,IF(#REF!=Data!$QK$7,Data!$QQ$1,IF(#REF!=Data!$QK$8,Data!$QR$1,IF(#REF!=Data!$QK$9,Data!$QS$1,IF(#REF!=Data!$QK$10,Data!$QT$1,IF(#REF!=Data!$QK$11,Data!$QU$1))))))))))</f>
        <v>#REF!</v>
      </c>
      <c r="BC15" s="33" t="e">
        <f>IF(#REF!=Data!$QK$2,Data!$QL$17,IF(#REF!=Data!$QK$3,Data!$QM$17,IF(#REF!=Data!$QK$4,Data!$QN$17,IF(#REF!=Data!$QK$5,Data!$QO$17,IF(#REF!=Data!$QK$6,Data!$QP$17,IF(#REF!=Data!$QK$7,Data!$QQ$17,IF(#REF!=Data!$QK$8,Data!$QR$17,IF(#REF!=Data!$QK$9,Data!$QS$17,IF(#REF!=Data!$QK$10,Data!$QT$17,IF(#REF!=Data!$QK$11,Data!$QU$17))))))))))</f>
        <v>#REF!</v>
      </c>
      <c r="BD15" s="33" t="e">
        <f>IF(#REF!=Data!$PU$2,Data!$PW$1,IF(#REF!=Data!$PU$3,Data!$PW$1,IF(#REF!=Data!$PU$4,Data!$PV$1,IF(#REF!=Data!$PU$5,Data!$PV$1,))))</f>
        <v>#REF!</v>
      </c>
      <c r="BE15" s="33" t="e">
        <f>MATCH('Panel Glide Blinds'!D15,Data!$AAK$2:$AAK$15)</f>
        <v>#N/A</v>
      </c>
      <c r="BF15" s="33" t="e">
        <f>MATCH(O15,Data!$AAL$1:$AAM$1)</f>
        <v>#N/A</v>
      </c>
      <c r="BG15" s="33" t="e">
        <f>INDEX(Data!$AAL$2:$AAM$15,BE15,BF15)</f>
        <v>#N/A</v>
      </c>
      <c r="BH15" s="33" t="b">
        <f>IF(O15=Data!$ABF$1,Data!$ABD$1,IF(O15=Data!$ABF$2,Data!$ABE$1))</f>
        <v>0</v>
      </c>
      <c r="BI15" s="33" t="e">
        <f>VLOOKUP(H15,Data!$ABL$2:$ABM$8,2,FALSE)</f>
        <v>#N/A</v>
      </c>
      <c r="BJ15" s="172" t="e">
        <f>VLOOKUP(H15,Data!$ABW$2:$ABX$9,2,FALSE)</f>
        <v>#N/A</v>
      </c>
      <c r="BK15" s="172" t="e">
        <f>VLOOKUP(H15,Data!$ABW$2:$ABY$8,3,FALSE)</f>
        <v>#N/A</v>
      </c>
      <c r="BL15" s="172" t="str">
        <f t="shared" si="0"/>
        <v/>
      </c>
      <c r="BM15" s="172" t="str">
        <f t="shared" si="1"/>
        <v/>
      </c>
      <c r="BN15" s="172" t="str">
        <f t="shared" si="4"/>
        <v/>
      </c>
      <c r="BO15" s="33" t="e">
        <f t="shared" si="5"/>
        <v>#DIV/0!</v>
      </c>
      <c r="BP15" s="33" t="e">
        <f t="shared" si="6"/>
        <v>#DIV/0!</v>
      </c>
      <c r="BQ15" s="33" t="e">
        <f t="shared" si="7"/>
        <v>#DIV/0!</v>
      </c>
      <c r="BR15" s="33" t="str">
        <f t="shared" si="8"/>
        <v/>
      </c>
    </row>
    <row r="16" spans="1:70" ht="30" customHeight="1" thickTop="1" thickBot="1">
      <c r="A16" s="52">
        <v>9</v>
      </c>
      <c r="B16" s="17"/>
      <c r="C16" s="17"/>
      <c r="D16" s="13"/>
      <c r="E16" s="15"/>
      <c r="F16" s="14"/>
      <c r="G16" s="14"/>
      <c r="H16" s="14"/>
      <c r="I16" s="13"/>
      <c r="J16" s="14"/>
      <c r="K16" s="14"/>
      <c r="L16" s="525"/>
      <c r="M16" s="526"/>
      <c r="N16" s="15"/>
      <c r="O16" s="15"/>
      <c r="P16" s="15"/>
      <c r="Q16" s="13"/>
      <c r="R16" s="13"/>
      <c r="S16" s="13"/>
      <c r="T16" s="689"/>
      <c r="U16" s="690"/>
      <c r="V16" s="229"/>
      <c r="W16" s="230"/>
      <c r="X16" s="269" t="e">
        <f t="shared" si="2"/>
        <v>#N/A</v>
      </c>
      <c r="Y16" s="269" t="e">
        <f>VLOOKUP(Q16,Data!$QH$2:$QI$4,2,FALSE)</f>
        <v>#N/A</v>
      </c>
      <c r="AA16" s="269" t="e">
        <f t="shared" si="3"/>
        <v>#N/A</v>
      </c>
      <c r="AB16" s="172" t="str">
        <f>IF(COUNTIF(AB8:AB14,Data!KG7),Data!KH7,"")</f>
        <v/>
      </c>
      <c r="AD16" s="172" t="e">
        <f>IF(#REF!=Data!$KK$2,Data!$KM$1,IF(#REF!=Data!$KK$3,Data!$KN$1,IF(#REF!=Data!$KK$4,Data!$KP$1,IF(#REF!=Data!$KK$5,Data!$KQ$1))))</f>
        <v>#REF!</v>
      </c>
      <c r="AE16" s="33" t="str">
        <f>IF(D16=Data!$W$10,Data!$QJ$1,Data!$QK$1)</f>
        <v>RollerControl</v>
      </c>
      <c r="AH16" s="33" t="b">
        <f>IF(Q16=Data!$PX$2,Data!$PZ$1,IF(Q16=Data!$PX$3,Data!$PY$1,IF(Q16=Data!$PX$4,Data!$QA$1)))</f>
        <v>0</v>
      </c>
      <c r="AJ16" s="33" t="b">
        <f>IF(Q16=Data!$PX$3,Data!$QB$1,IF(Q16=Data!$PX$2,Data!$QC$1,IF(Q16=Data!$PX$4,Data!$QD$1)))</f>
        <v>0</v>
      </c>
      <c r="AL16" s="33" t="str">
        <f>IF(D16=Data!$W$3,Data!$QF$1,IF(D16=Data!$W$4,Data!$QF$1,IF(D16=Data!$W$5,Data!$QF$1,IF(D16=Data!$W$6,Data!$QF$1,IF(D16=Data!$W$7,Data!$QF$1,IF(D16=Data!$W$8,Data!$QF$1,IF(D16=Data!$W$9,Data!$QF$1,IF(D16=Data!$W$10,Data!$QE$1,IF(D16=Data!$W$11,Data!$QF$1,IF(D16=Data!$W$12,Data!$QF$1,IF(D16=Data!$W$13,Data!$QF$1,IF(D16=Data!$W$14,Data!$QF$1,IF(D16=Data!$W$15,Data!$QF$1,IF(D16=Data!$W$16,Data!$QF$1))))))))))))))</f>
        <v>RollerBracketType2</v>
      </c>
      <c r="AV16" s="40" t="e">
        <f>IF(AND(G16&lt;2130, OR(#REF!&lt;2100)),Data!$KS$1,Data!$KT$1)</f>
        <v>#REF!</v>
      </c>
      <c r="AW16" s="172" t="e">
        <f>MATCH(#REF!,Data!$LA$1:$LD$1,0)</f>
        <v>#REF!</v>
      </c>
      <c r="AX16" s="172" t="e">
        <f>MATCH('Panel Glide Blinds'!AV16,Data!$KZ$2:$KZ$3,0)</f>
        <v>#REF!</v>
      </c>
      <c r="AY16" s="172" t="e">
        <f>INDEX(Data!$LA$2:$LD$3,'Panel Glide Blinds'!AX16,'Panel Glide Blinds'!AW16)</f>
        <v>#REF!</v>
      </c>
      <c r="BB16" s="172" t="e">
        <f>IF(#REF!=Data!$QK$2,Data!$QL$1,IF(#REF!=Data!$QK$3,Data!$QM$1,IF(#REF!=Data!$QK$4,Data!$QN$1,IF(#REF!=Data!$QK$5,Data!$QO$1,IF(#REF!=Data!$QK$6,Data!$QP$1,IF(#REF!=Data!$QK$7,Data!$QQ$1,IF(#REF!=Data!$QK$8,Data!$QR$1,IF(#REF!=Data!$QK$9,Data!$QS$1,IF(#REF!=Data!$QK$10,Data!$QT$1,IF(#REF!=Data!$QK$11,Data!$QU$1))))))))))</f>
        <v>#REF!</v>
      </c>
      <c r="BC16" s="33" t="e">
        <f>IF(#REF!=Data!$QK$2,Data!$QL$17,IF(#REF!=Data!$QK$3,Data!$QM$17,IF(#REF!=Data!$QK$4,Data!$QN$17,IF(#REF!=Data!$QK$5,Data!$QO$17,IF(#REF!=Data!$QK$6,Data!$QP$17,IF(#REF!=Data!$QK$7,Data!$QQ$17,IF(#REF!=Data!$QK$8,Data!$QR$17,IF(#REF!=Data!$QK$9,Data!$QS$17,IF(#REF!=Data!$QK$10,Data!$QT$17,IF(#REF!=Data!$QK$11,Data!$QU$17))))))))))</f>
        <v>#REF!</v>
      </c>
      <c r="BD16" s="33" t="e">
        <f>IF(#REF!=Data!$PU$2,Data!$PW$1,IF(#REF!=Data!$PU$3,Data!$PW$1,IF(#REF!=Data!$PU$4,Data!$PV$1,IF(#REF!=Data!$PU$5,Data!$PV$1,))))</f>
        <v>#REF!</v>
      </c>
      <c r="BE16" s="33" t="e">
        <f>MATCH('Panel Glide Blinds'!D16,Data!$AAK$2:$AAK$15)</f>
        <v>#N/A</v>
      </c>
      <c r="BF16" s="33" t="e">
        <f>MATCH(O16,Data!$AAL$1:$AAM$1)</f>
        <v>#N/A</v>
      </c>
      <c r="BG16" s="33" t="e">
        <f>INDEX(Data!$AAL$2:$AAM$15,BE16,BF16)</f>
        <v>#N/A</v>
      </c>
      <c r="BH16" s="33" t="b">
        <f>IF(O16=Data!$ABF$1,Data!$ABD$1,IF(O16=Data!$ABF$2,Data!$ABE$1))</f>
        <v>0</v>
      </c>
      <c r="BI16" s="33" t="e">
        <f>VLOOKUP(H16,Data!$ABL$2:$ABM$8,2,FALSE)</f>
        <v>#N/A</v>
      </c>
      <c r="BJ16" s="172" t="e">
        <f>VLOOKUP(H16,Data!$ABW$2:$ABX$9,2,FALSE)</f>
        <v>#N/A</v>
      </c>
      <c r="BK16" s="172" t="e">
        <f>VLOOKUP(H16,Data!$ABW$2:$ABY$8,3,FALSE)</f>
        <v>#N/A</v>
      </c>
      <c r="BL16" s="172" t="str">
        <f t="shared" si="0"/>
        <v/>
      </c>
      <c r="BM16" s="172" t="str">
        <f t="shared" si="1"/>
        <v/>
      </c>
      <c r="BN16" s="172" t="str">
        <f t="shared" si="4"/>
        <v/>
      </c>
      <c r="BO16" s="33" t="e">
        <f t="shared" si="5"/>
        <v>#DIV/0!</v>
      </c>
      <c r="BP16" s="33" t="e">
        <f t="shared" si="6"/>
        <v>#DIV/0!</v>
      </c>
      <c r="BQ16" s="33" t="e">
        <f t="shared" si="7"/>
        <v>#DIV/0!</v>
      </c>
      <c r="BR16" s="33" t="str">
        <f t="shared" si="8"/>
        <v/>
      </c>
    </row>
    <row r="17" spans="1:70" ht="30" customHeight="1" thickTop="1" thickBot="1">
      <c r="A17" s="52">
        <v>10</v>
      </c>
      <c r="B17" s="17"/>
      <c r="C17" s="17"/>
      <c r="D17" s="19"/>
      <c r="E17" s="15"/>
      <c r="F17" s="14"/>
      <c r="G17" s="14"/>
      <c r="H17" s="14"/>
      <c r="I17" s="13"/>
      <c r="J17" s="14"/>
      <c r="K17" s="14"/>
      <c r="L17" s="525"/>
      <c r="M17" s="526"/>
      <c r="N17" s="15"/>
      <c r="O17" s="15"/>
      <c r="P17" s="15"/>
      <c r="Q17" s="13"/>
      <c r="R17" s="13"/>
      <c r="S17" s="13"/>
      <c r="T17" s="689"/>
      <c r="U17" s="690"/>
      <c r="V17" s="229"/>
      <c r="W17" s="230"/>
      <c r="X17" s="269" t="e">
        <f t="shared" si="2"/>
        <v>#N/A</v>
      </c>
      <c r="Y17" s="269" t="e">
        <f>VLOOKUP(Q17,Data!$QH$2:$QI$4,2,FALSE)</f>
        <v>#N/A</v>
      </c>
      <c r="AA17" s="269" t="e">
        <f t="shared" si="3"/>
        <v>#N/A</v>
      </c>
      <c r="AB17" s="172" t="str">
        <f>AB15&amp;" &amp; "&amp;AB16&amp;""</f>
        <v xml:space="preserve"> &amp; </v>
      </c>
      <c r="AD17" s="172" t="e">
        <f>IF(#REF!=Data!$KK$2,Data!$KM$1,IF(#REF!=Data!$KK$3,Data!$KN$1,IF(#REF!=Data!$KK$4,Data!$KP$1,IF(#REF!=Data!$KK$5,Data!$KQ$1))))</f>
        <v>#REF!</v>
      </c>
      <c r="AE17" s="33" t="str">
        <f>IF(D17=Data!$W$10,Data!$QJ$1,Data!$QK$1)</f>
        <v>RollerControl</v>
      </c>
      <c r="AH17" s="33" t="b">
        <f>IF(Q17=Data!$PX$2,Data!$PZ$1,IF(Q17=Data!$PX$3,Data!$PY$1,IF(Q17=Data!$PX$4,Data!$QA$1)))</f>
        <v>0</v>
      </c>
      <c r="AJ17" s="33" t="b">
        <f>IF(Q17=Data!$PX$3,Data!$QB$1,IF(Q17=Data!$PX$2,Data!$QC$1,IF(Q17=Data!$PX$4,Data!$QD$1)))</f>
        <v>0</v>
      </c>
      <c r="AL17" s="33" t="str">
        <f>IF(D17=Data!$W$3,Data!$QF$1,IF(D17=Data!$W$4,Data!$QF$1,IF(D17=Data!$W$5,Data!$QF$1,IF(D17=Data!$W$6,Data!$QF$1,IF(D17=Data!$W$7,Data!$QF$1,IF(D17=Data!$W$8,Data!$QF$1,IF(D17=Data!$W$9,Data!$QF$1,IF(D17=Data!$W$10,Data!$QE$1,IF(D17=Data!$W$11,Data!$QF$1,IF(D17=Data!$W$12,Data!$QF$1,IF(D17=Data!$W$13,Data!$QF$1,IF(D17=Data!$W$14,Data!$QF$1,IF(D17=Data!$W$15,Data!$QF$1,IF(D17=Data!$W$16,Data!$QF$1))))))))))))))</f>
        <v>RollerBracketType2</v>
      </c>
      <c r="AV17" s="40" t="e">
        <f>IF(AND(G17&lt;2130, OR(#REF!&lt;2100)),Data!$KS$1,Data!$KT$1)</f>
        <v>#REF!</v>
      </c>
      <c r="AW17" s="172" t="e">
        <f>MATCH(#REF!,Data!$LA$1:$LD$1,0)</f>
        <v>#REF!</v>
      </c>
      <c r="AX17" s="172" t="e">
        <f>MATCH('Panel Glide Blinds'!AV17,Data!$KZ$2:$KZ$3,0)</f>
        <v>#REF!</v>
      </c>
      <c r="AY17" s="172" t="e">
        <f>INDEX(Data!$LA$2:$LD$3,'Panel Glide Blinds'!AX17,'Panel Glide Blinds'!AW17)</f>
        <v>#REF!</v>
      </c>
      <c r="BB17" s="172" t="e">
        <f>IF(#REF!=Data!$QK$2,Data!$QL$1,IF(#REF!=Data!$QK$3,Data!$QM$1,IF(#REF!=Data!$QK$4,Data!$QN$1,IF(#REF!=Data!$QK$5,Data!$QO$1,IF(#REF!=Data!$QK$6,Data!$QP$1,IF(#REF!=Data!$QK$7,Data!$QQ$1,IF(#REF!=Data!$QK$8,Data!$QR$1,IF(#REF!=Data!$QK$9,Data!$QS$1,IF(#REF!=Data!$QK$10,Data!$QT$1,IF(#REF!=Data!$QK$11,Data!$QU$1))))))))))</f>
        <v>#REF!</v>
      </c>
      <c r="BC17" s="33" t="e">
        <f>IF(#REF!=Data!$QK$2,Data!$QL$17,IF(#REF!=Data!$QK$3,Data!$QM$17,IF(#REF!=Data!$QK$4,Data!$QN$17,IF(#REF!=Data!$QK$5,Data!$QO$17,IF(#REF!=Data!$QK$6,Data!$QP$17,IF(#REF!=Data!$QK$7,Data!$QQ$17,IF(#REF!=Data!$QK$8,Data!$QR$17,IF(#REF!=Data!$QK$9,Data!$QS$17,IF(#REF!=Data!$QK$10,Data!$QT$17,IF(#REF!=Data!$QK$11,Data!$QU$17))))))))))</f>
        <v>#REF!</v>
      </c>
      <c r="BD17" s="33" t="e">
        <f>IF(#REF!=Data!$PU$2,Data!$PW$1,IF(#REF!=Data!$PU$3,Data!$PW$1,IF(#REF!=Data!$PU$4,Data!$PV$1,IF(#REF!=Data!$PU$5,Data!$PV$1,))))</f>
        <v>#REF!</v>
      </c>
      <c r="BE17" s="33" t="e">
        <f>MATCH('Panel Glide Blinds'!D17,Data!$AAK$2:$AAK$15)</f>
        <v>#N/A</v>
      </c>
      <c r="BF17" s="33" t="e">
        <f>MATCH(O17,Data!$AAL$1:$AAM$1)</f>
        <v>#N/A</v>
      </c>
      <c r="BG17" s="33" t="e">
        <f>INDEX(Data!$AAL$2:$AAM$15,BE17,BF17)</f>
        <v>#N/A</v>
      </c>
      <c r="BH17" s="33" t="b">
        <f>IF(O17=Data!$ABF$1,Data!$ABD$1,IF(O17=Data!$ABF$2,Data!$ABE$1))</f>
        <v>0</v>
      </c>
      <c r="BI17" s="33" t="e">
        <f>VLOOKUP(H17,Data!$ABL$2:$ABM$8,2,FALSE)</f>
        <v>#N/A</v>
      </c>
      <c r="BJ17" s="172" t="e">
        <f>VLOOKUP(H17,Data!$ABW$2:$ABX$9,2,FALSE)</f>
        <v>#N/A</v>
      </c>
      <c r="BK17" s="172" t="e">
        <f>VLOOKUP(H17,Data!$ABW$2:$ABY$8,3,FALSE)</f>
        <v>#N/A</v>
      </c>
      <c r="BL17" s="172" t="str">
        <f t="shared" si="0"/>
        <v/>
      </c>
      <c r="BM17" s="172" t="str">
        <f t="shared" si="1"/>
        <v/>
      </c>
      <c r="BN17" s="172" t="str">
        <f t="shared" si="4"/>
        <v/>
      </c>
      <c r="BO17" s="33" t="e">
        <f t="shared" si="5"/>
        <v>#DIV/0!</v>
      </c>
      <c r="BP17" s="33" t="e">
        <f t="shared" si="6"/>
        <v>#DIV/0!</v>
      </c>
      <c r="BQ17" s="33" t="e">
        <f t="shared" si="7"/>
        <v>#DIV/0!</v>
      </c>
      <c r="BR17" s="33" t="str">
        <f t="shared" si="8"/>
        <v/>
      </c>
    </row>
    <row r="18" spans="1:70" ht="30" customHeight="1" thickTop="1" thickBot="1">
      <c r="A18" s="52">
        <v>11</v>
      </c>
      <c r="B18" s="17"/>
      <c r="C18" s="17"/>
      <c r="D18" s="13"/>
      <c r="E18" s="15"/>
      <c r="F18" s="14"/>
      <c r="G18" s="14"/>
      <c r="H18" s="14"/>
      <c r="I18" s="13"/>
      <c r="J18" s="14"/>
      <c r="K18" s="14"/>
      <c r="L18" s="525"/>
      <c r="M18" s="526"/>
      <c r="N18" s="15"/>
      <c r="O18" s="15"/>
      <c r="P18" s="15"/>
      <c r="Q18" s="13"/>
      <c r="R18" s="13"/>
      <c r="S18" s="13"/>
      <c r="T18" s="689"/>
      <c r="U18" s="690"/>
      <c r="V18" s="229"/>
      <c r="W18" s="230"/>
      <c r="X18" s="269" t="e">
        <f t="shared" si="2"/>
        <v>#N/A</v>
      </c>
      <c r="Y18" s="269" t="e">
        <f>VLOOKUP(Q18,Data!$QH$2:$QI$4,2,FALSE)</f>
        <v>#N/A</v>
      </c>
      <c r="AA18" s="269" t="e">
        <f t="shared" si="3"/>
        <v>#N/A</v>
      </c>
      <c r="AB18" s="172" t="str">
        <f>IF(AB17="Corner &amp; Bay","Corner &amp; Bay Window Diagram Must Be Supplied",IF(AB15="Corner","Corner Window Diagram Must Be Supplied",IF(AB16="Bay","Bay Window Diagram Must Be Supplied","")))</f>
        <v/>
      </c>
      <c r="AD18" s="172" t="e">
        <f>IF(#REF!=Data!$KK$2,Data!$KM$1,IF(#REF!=Data!$KK$3,Data!$KN$1,IF(#REF!=Data!$KK$4,Data!$KP$1,IF(#REF!=Data!$KK$5,Data!$KQ$1))))</f>
        <v>#REF!</v>
      </c>
      <c r="AE18" s="33" t="str">
        <f>IF(D18=Data!$W$10,Data!$QJ$1,Data!$QK$1)</f>
        <v>RollerControl</v>
      </c>
      <c r="AH18" s="33" t="b">
        <f>IF(Q18=Data!$PX$2,Data!$PZ$1,IF(Q18=Data!$PX$3,Data!$PY$1,IF(Q18=Data!$PX$4,Data!$QA$1)))</f>
        <v>0</v>
      </c>
      <c r="AJ18" s="33" t="b">
        <f>IF(Q18=Data!$PX$3,Data!$QB$1,IF(Q18=Data!$PX$2,Data!$QC$1,IF(Q18=Data!$PX$4,Data!$QD$1)))</f>
        <v>0</v>
      </c>
      <c r="AL18" s="33" t="str">
        <f>IF(D18=Data!$W$3,Data!$QF$1,IF(D18=Data!$W$4,Data!$QF$1,IF(D18=Data!$W$5,Data!$QF$1,IF(D18=Data!$W$6,Data!$QF$1,IF(D18=Data!$W$7,Data!$QF$1,IF(D18=Data!$W$8,Data!$QF$1,IF(D18=Data!$W$9,Data!$QF$1,IF(D18=Data!$W$10,Data!$QE$1,IF(D18=Data!$W$11,Data!$QF$1,IF(D18=Data!$W$12,Data!$QF$1,IF(D18=Data!$W$13,Data!$QF$1,IF(D18=Data!$W$14,Data!$QF$1,IF(D18=Data!$W$15,Data!$QF$1,IF(D18=Data!$W$16,Data!$QF$1))))))))))))))</f>
        <v>RollerBracketType2</v>
      </c>
      <c r="AV18" s="40" t="e">
        <f>IF(AND(G18&lt;2130, OR(#REF!&lt;2100)),Data!$KS$1,Data!$KT$1)</f>
        <v>#REF!</v>
      </c>
      <c r="AW18" s="172" t="e">
        <f>MATCH(#REF!,Data!$LA$1:$LD$1,0)</f>
        <v>#REF!</v>
      </c>
      <c r="AX18" s="172" t="e">
        <f>MATCH('Panel Glide Blinds'!AV18,Data!$KZ$2:$KZ$3,0)</f>
        <v>#REF!</v>
      </c>
      <c r="AY18" s="172" t="e">
        <f>INDEX(Data!$LA$2:$LD$3,'Panel Glide Blinds'!AX18,'Panel Glide Blinds'!AW18)</f>
        <v>#REF!</v>
      </c>
      <c r="BB18" s="172" t="e">
        <f>IF(#REF!=Data!$QK$2,Data!$QL$1,IF(#REF!=Data!$QK$3,Data!$QM$1,IF(#REF!=Data!$QK$4,Data!$QN$1,IF(#REF!=Data!$QK$5,Data!$QO$1,IF(#REF!=Data!$QK$6,Data!$QP$1,IF(#REF!=Data!$QK$7,Data!$QQ$1,IF(#REF!=Data!$QK$8,Data!$QR$1,IF(#REF!=Data!$QK$9,Data!$QS$1,IF(#REF!=Data!$QK$10,Data!$QT$1,IF(#REF!=Data!$QK$11,Data!$QU$1))))))))))</f>
        <v>#REF!</v>
      </c>
      <c r="BC18" s="33" t="e">
        <f>IF(#REF!=Data!$QK$2,Data!$QL$17,IF(#REF!=Data!$QK$3,Data!$QM$17,IF(#REF!=Data!$QK$4,Data!$QN$17,IF(#REF!=Data!$QK$5,Data!$QO$17,IF(#REF!=Data!$QK$6,Data!$QP$17,IF(#REF!=Data!$QK$7,Data!$QQ$17,IF(#REF!=Data!$QK$8,Data!$QR$17,IF(#REF!=Data!$QK$9,Data!$QS$17,IF(#REF!=Data!$QK$10,Data!$QT$17,IF(#REF!=Data!$QK$11,Data!$QU$17))))))))))</f>
        <v>#REF!</v>
      </c>
      <c r="BD18" s="33" t="e">
        <f>IF(#REF!=Data!$PU$2,Data!$PW$1,IF(#REF!=Data!$PU$3,Data!$PW$1,IF(#REF!=Data!$PU$4,Data!$PV$1,IF(#REF!=Data!$PU$5,Data!$PV$1,))))</f>
        <v>#REF!</v>
      </c>
      <c r="BE18" s="33" t="e">
        <f>MATCH('Panel Glide Blinds'!D18,Data!$AAK$2:$AAK$15)</f>
        <v>#N/A</v>
      </c>
      <c r="BF18" s="33" t="e">
        <f>MATCH(O18,Data!$AAL$1:$AAM$1)</f>
        <v>#N/A</v>
      </c>
      <c r="BG18" s="33" t="e">
        <f>INDEX(Data!$AAL$2:$AAM$15,BE18,BF18)</f>
        <v>#N/A</v>
      </c>
      <c r="BH18" s="33" t="b">
        <f>IF(O18=Data!$ABF$1,Data!$ABD$1,IF(O18=Data!$ABF$2,Data!$ABE$1))</f>
        <v>0</v>
      </c>
      <c r="BI18" s="33" t="e">
        <f>VLOOKUP(H18,Data!$ABL$2:$ABM$8,2,FALSE)</f>
        <v>#N/A</v>
      </c>
      <c r="BJ18" s="172" t="e">
        <f>VLOOKUP(H18,Data!$ABW$2:$ABX$9,2,FALSE)</f>
        <v>#N/A</v>
      </c>
      <c r="BK18" s="172" t="e">
        <f>VLOOKUP(H18,Data!$ABW$2:$ABY$8,3,FALSE)</f>
        <v>#N/A</v>
      </c>
      <c r="BL18" s="172" t="str">
        <f t="shared" si="0"/>
        <v/>
      </c>
      <c r="BM18" s="172" t="str">
        <f t="shared" si="1"/>
        <v/>
      </c>
      <c r="BN18" s="172" t="str">
        <f t="shared" si="4"/>
        <v/>
      </c>
      <c r="BO18" s="33" t="e">
        <f t="shared" si="5"/>
        <v>#DIV/0!</v>
      </c>
      <c r="BP18" s="33" t="e">
        <f t="shared" si="6"/>
        <v>#DIV/0!</v>
      </c>
      <c r="BQ18" s="33" t="e">
        <f t="shared" si="7"/>
        <v>#DIV/0!</v>
      </c>
      <c r="BR18" s="33" t="str">
        <f t="shared" si="8"/>
        <v/>
      </c>
    </row>
    <row r="19" spans="1:70" ht="30" customHeight="1" thickTop="1" thickBot="1">
      <c r="A19" s="52">
        <v>12</v>
      </c>
      <c r="B19" s="17"/>
      <c r="C19" s="17"/>
      <c r="D19" s="13"/>
      <c r="E19" s="15"/>
      <c r="F19" s="14"/>
      <c r="G19" s="14"/>
      <c r="H19" s="14"/>
      <c r="I19" s="13"/>
      <c r="J19" s="14"/>
      <c r="K19" s="14"/>
      <c r="L19" s="525"/>
      <c r="M19" s="526"/>
      <c r="N19" s="15"/>
      <c r="O19" s="15"/>
      <c r="P19" s="15"/>
      <c r="Q19" s="13"/>
      <c r="R19" s="13"/>
      <c r="S19" s="13"/>
      <c r="T19" s="689"/>
      <c r="U19" s="690"/>
      <c r="V19" s="229"/>
      <c r="W19" s="230"/>
      <c r="X19" s="269" t="e">
        <f t="shared" si="2"/>
        <v>#N/A</v>
      </c>
      <c r="Y19" s="269" t="e">
        <f>VLOOKUP(Q19,Data!$QH$2:$QI$4,2,FALSE)</f>
        <v>#N/A</v>
      </c>
      <c r="AA19" s="269" t="e">
        <f t="shared" si="3"/>
        <v>#N/A</v>
      </c>
      <c r="AD19" s="172" t="e">
        <f>IF(#REF!=Data!$KK$2,Data!$KM$1,IF(#REF!=Data!$KK$3,Data!$KN$1,IF(#REF!=Data!$KK$4,Data!$KP$1,IF(#REF!=Data!$KK$5,Data!$KQ$1))))</f>
        <v>#REF!</v>
      </c>
      <c r="AE19" s="33" t="str">
        <f>IF(D19=Data!$W$10,Data!$QJ$1,Data!$QK$1)</f>
        <v>RollerControl</v>
      </c>
      <c r="AH19" s="33" t="b">
        <f>IF(Q19=Data!$PX$2,Data!$PZ$1,IF(Q19=Data!$PX$3,Data!$PY$1,IF(Q19=Data!$PX$4,Data!$QA$1)))</f>
        <v>0</v>
      </c>
      <c r="AJ19" s="33" t="b">
        <f>IF(Q19=Data!$PX$3,Data!$QB$1,IF(Q19=Data!$PX$2,Data!$QC$1,IF(Q19=Data!$PX$4,Data!$QD$1)))</f>
        <v>0</v>
      </c>
      <c r="AL19" s="33" t="str">
        <f>IF(D19=Data!$W$3,Data!$QF$1,IF(D19=Data!$W$4,Data!$QF$1,IF(D19=Data!$W$5,Data!$QF$1,IF(D19=Data!$W$6,Data!$QF$1,IF(D19=Data!$W$7,Data!$QF$1,IF(D19=Data!$W$8,Data!$QF$1,IF(D19=Data!$W$9,Data!$QF$1,IF(D19=Data!$W$10,Data!$QE$1,IF(D19=Data!$W$11,Data!$QF$1,IF(D19=Data!$W$12,Data!$QF$1,IF(D19=Data!$W$13,Data!$QF$1,IF(D19=Data!$W$14,Data!$QF$1,IF(D19=Data!$W$15,Data!$QF$1,IF(D19=Data!$W$16,Data!$QF$1))))))))))))))</f>
        <v>RollerBracketType2</v>
      </c>
      <c r="AV19" s="40" t="e">
        <f>IF(AND(G19&lt;2130, OR(#REF!&lt;2100)),Data!$KS$1,Data!$KT$1)</f>
        <v>#REF!</v>
      </c>
      <c r="AW19" s="172" t="e">
        <f>MATCH(#REF!,Data!$LA$1:$LD$1,0)</f>
        <v>#REF!</v>
      </c>
      <c r="AX19" s="172" t="e">
        <f>MATCH('Panel Glide Blinds'!AV19,Data!$KZ$2:$KZ$3,0)</f>
        <v>#REF!</v>
      </c>
      <c r="AY19" s="172" t="e">
        <f>INDEX(Data!$LA$2:$LD$3,'Panel Glide Blinds'!AX19,'Panel Glide Blinds'!AW19)</f>
        <v>#REF!</v>
      </c>
      <c r="BB19" s="172" t="e">
        <f>IF(#REF!=Data!$QK$2,Data!$QL$1,IF(#REF!=Data!$QK$3,Data!$QM$1,IF(#REF!=Data!$QK$4,Data!$QN$1,IF(#REF!=Data!$QK$5,Data!$QO$1,IF(#REF!=Data!$QK$6,Data!$QP$1,IF(#REF!=Data!$QK$7,Data!$QQ$1,IF(#REF!=Data!$QK$8,Data!$QR$1,IF(#REF!=Data!$QK$9,Data!$QS$1,IF(#REF!=Data!$QK$10,Data!$QT$1,IF(#REF!=Data!$QK$11,Data!$QU$1))))))))))</f>
        <v>#REF!</v>
      </c>
      <c r="BC19" s="33" t="e">
        <f>IF(#REF!=Data!$QK$2,Data!$QL$17,IF(#REF!=Data!$QK$3,Data!$QM$17,IF(#REF!=Data!$QK$4,Data!$QN$17,IF(#REF!=Data!$QK$5,Data!$QO$17,IF(#REF!=Data!$QK$6,Data!$QP$17,IF(#REF!=Data!$QK$7,Data!$QQ$17,IF(#REF!=Data!$QK$8,Data!$QR$17,IF(#REF!=Data!$QK$9,Data!$QS$17,IF(#REF!=Data!$QK$10,Data!$QT$17,IF(#REF!=Data!$QK$11,Data!$QU$17))))))))))</f>
        <v>#REF!</v>
      </c>
      <c r="BD19" s="33" t="e">
        <f>IF(#REF!=Data!$PU$2,Data!$PW$1,IF(#REF!=Data!$PU$3,Data!$PW$1,IF(#REF!=Data!$PU$4,Data!$PV$1,IF(#REF!=Data!$PU$5,Data!$PV$1,))))</f>
        <v>#REF!</v>
      </c>
      <c r="BE19" s="33" t="e">
        <f>MATCH('Panel Glide Blinds'!D19,Data!$AAK$2:$AAK$15)</f>
        <v>#N/A</v>
      </c>
      <c r="BF19" s="33" t="e">
        <f>MATCH(O19,Data!$AAL$1:$AAM$1)</f>
        <v>#N/A</v>
      </c>
      <c r="BG19" s="33" t="e">
        <f>INDEX(Data!$AAL$2:$AAM$15,BE19,BF19)</f>
        <v>#N/A</v>
      </c>
      <c r="BH19" s="33" t="b">
        <f>IF(O19=Data!$ABF$1,Data!$ABD$1,IF(O19=Data!$ABF$2,Data!$ABE$1))</f>
        <v>0</v>
      </c>
      <c r="BI19" s="33" t="e">
        <f>VLOOKUP(H19,Data!$ABL$2:$ABM$8,2,FALSE)</f>
        <v>#N/A</v>
      </c>
      <c r="BJ19" s="172" t="e">
        <f>VLOOKUP(H19,Data!$ABW$2:$ABX$9,2,FALSE)</f>
        <v>#N/A</v>
      </c>
      <c r="BK19" s="172" t="e">
        <f>VLOOKUP(H19,Data!$ABW$2:$ABY$8,3,FALSE)</f>
        <v>#N/A</v>
      </c>
      <c r="BL19" s="172" t="str">
        <f t="shared" si="0"/>
        <v/>
      </c>
      <c r="BM19" s="172" t="str">
        <f t="shared" si="1"/>
        <v/>
      </c>
      <c r="BN19" s="172" t="str">
        <f t="shared" si="4"/>
        <v/>
      </c>
      <c r="BO19" s="33" t="e">
        <f t="shared" si="5"/>
        <v>#DIV/0!</v>
      </c>
      <c r="BP19" s="33" t="e">
        <f t="shared" si="6"/>
        <v>#DIV/0!</v>
      </c>
      <c r="BQ19" s="33" t="e">
        <f t="shared" si="7"/>
        <v>#DIV/0!</v>
      </c>
      <c r="BR19" s="33" t="str">
        <f t="shared" si="8"/>
        <v/>
      </c>
    </row>
    <row r="20" spans="1:70" ht="30" customHeight="1" thickTop="1" thickBot="1">
      <c r="A20" s="52">
        <v>13</v>
      </c>
      <c r="B20" s="17"/>
      <c r="C20" s="17"/>
      <c r="D20" s="13"/>
      <c r="E20" s="15"/>
      <c r="F20" s="14"/>
      <c r="G20" s="14"/>
      <c r="H20" s="14"/>
      <c r="I20" s="13"/>
      <c r="J20" s="14"/>
      <c r="K20" s="14"/>
      <c r="L20" s="525"/>
      <c r="M20" s="526"/>
      <c r="N20" s="15"/>
      <c r="O20" s="15"/>
      <c r="P20" s="15"/>
      <c r="Q20" s="13"/>
      <c r="R20" s="13"/>
      <c r="S20" s="13"/>
      <c r="T20" s="689"/>
      <c r="U20" s="690"/>
      <c r="V20" s="229"/>
      <c r="W20" s="230"/>
      <c r="X20" s="269" t="e">
        <f t="shared" si="2"/>
        <v>#N/A</v>
      </c>
      <c r="Y20" s="269" t="e">
        <f>VLOOKUP(Q20,Data!$QH$2:$QI$4,2,FALSE)</f>
        <v>#N/A</v>
      </c>
      <c r="AA20" s="269" t="e">
        <f t="shared" si="3"/>
        <v>#N/A</v>
      </c>
      <c r="AD20" s="172" t="e">
        <f>IF(#REF!=Data!$KK$2,Data!$KM$1,IF(#REF!=Data!$KK$3,Data!$KN$1,IF(#REF!=Data!$KK$4,Data!$KP$1,IF(#REF!=Data!$KK$5,Data!$KQ$1))))</f>
        <v>#REF!</v>
      </c>
      <c r="AE20" s="33" t="str">
        <f>IF(D20=Data!$W$10,Data!$QJ$1,Data!$QK$1)</f>
        <v>RollerControl</v>
      </c>
      <c r="AH20" s="33" t="b">
        <f>IF(Q20=Data!$PX$2,Data!$PZ$1,IF(Q20=Data!$PX$3,Data!$PY$1,IF(Q20=Data!$PX$4,Data!$QA$1)))</f>
        <v>0</v>
      </c>
      <c r="AJ20" s="33" t="b">
        <f>IF(Q20=Data!$PX$3,Data!$QB$1,IF(Q20=Data!$PX$2,Data!$QC$1,IF(Q20=Data!$PX$4,Data!$QD$1)))</f>
        <v>0</v>
      </c>
      <c r="AL20" s="33" t="str">
        <f>IF(D20=Data!$W$3,Data!$QF$1,IF(D20=Data!$W$4,Data!$QF$1,IF(D20=Data!$W$5,Data!$QF$1,IF(D20=Data!$W$6,Data!$QF$1,IF(D20=Data!$W$7,Data!$QF$1,IF(D20=Data!$W$8,Data!$QF$1,IF(D20=Data!$W$9,Data!$QF$1,IF(D20=Data!$W$10,Data!$QE$1,IF(D20=Data!$W$11,Data!$QF$1,IF(D20=Data!$W$12,Data!$QF$1,IF(D20=Data!$W$13,Data!$QF$1,IF(D20=Data!$W$14,Data!$QF$1,IF(D20=Data!$W$15,Data!$QF$1,IF(D20=Data!$W$16,Data!$QF$1))))))))))))))</f>
        <v>RollerBracketType2</v>
      </c>
      <c r="AV20" s="40" t="e">
        <f>IF(AND(G20&lt;2130, OR(#REF!&lt;2100)),Data!$KS$1,Data!$KT$1)</f>
        <v>#REF!</v>
      </c>
      <c r="AW20" s="172" t="e">
        <f>MATCH(#REF!,Data!$LA$1:$LD$1,0)</f>
        <v>#REF!</v>
      </c>
      <c r="AX20" s="172" t="e">
        <f>MATCH('Panel Glide Blinds'!AV20,Data!$KZ$2:$KZ$3,0)</f>
        <v>#REF!</v>
      </c>
      <c r="AY20" s="172" t="e">
        <f>INDEX(Data!$LA$2:$LD$3,'Panel Glide Blinds'!AX20,'Panel Glide Blinds'!AW20)</f>
        <v>#REF!</v>
      </c>
      <c r="BB20" s="172" t="e">
        <f>IF(#REF!=Data!$QK$2,Data!$QL$1,IF(#REF!=Data!$QK$3,Data!$QM$1,IF(#REF!=Data!$QK$4,Data!$QN$1,IF(#REF!=Data!$QK$5,Data!$QO$1,IF(#REF!=Data!$QK$6,Data!$QP$1,IF(#REF!=Data!$QK$7,Data!$QQ$1,IF(#REF!=Data!$QK$8,Data!$QR$1,IF(#REF!=Data!$QK$9,Data!$QS$1,IF(#REF!=Data!$QK$10,Data!$QT$1,IF(#REF!=Data!$QK$11,Data!$QU$1))))))))))</f>
        <v>#REF!</v>
      </c>
      <c r="BC20" s="33" t="e">
        <f>IF(#REF!=Data!$QK$2,Data!$QL$17,IF(#REF!=Data!$QK$3,Data!$QM$17,IF(#REF!=Data!$QK$4,Data!$QN$17,IF(#REF!=Data!$QK$5,Data!$QO$17,IF(#REF!=Data!$QK$6,Data!$QP$17,IF(#REF!=Data!$QK$7,Data!$QQ$17,IF(#REF!=Data!$QK$8,Data!$QR$17,IF(#REF!=Data!$QK$9,Data!$QS$17,IF(#REF!=Data!$QK$10,Data!$QT$17,IF(#REF!=Data!$QK$11,Data!$QU$17))))))))))</f>
        <v>#REF!</v>
      </c>
      <c r="BD20" s="33" t="e">
        <f>IF(#REF!=Data!$PU$2,Data!$PW$1,IF(#REF!=Data!$PU$3,Data!$PW$1,IF(#REF!=Data!$PU$4,Data!$PV$1,IF(#REF!=Data!$PU$5,Data!$PV$1,))))</f>
        <v>#REF!</v>
      </c>
      <c r="BE20" s="33" t="e">
        <f>MATCH('Panel Glide Blinds'!D20,Data!$AAK$2:$AAK$15)</f>
        <v>#N/A</v>
      </c>
      <c r="BF20" s="33" t="e">
        <f>MATCH(O20,Data!$AAL$1:$AAM$1)</f>
        <v>#N/A</v>
      </c>
      <c r="BG20" s="33" t="e">
        <f>INDEX(Data!$AAL$2:$AAM$15,BE20,BF20)</f>
        <v>#N/A</v>
      </c>
      <c r="BH20" s="33" t="b">
        <f>IF(O20=Data!$ABF$1,Data!$ABD$1,IF(O20=Data!$ABF$2,Data!$ABE$1))</f>
        <v>0</v>
      </c>
      <c r="BI20" s="33" t="e">
        <f>VLOOKUP(H20,Data!$ABL$2:$ABM$8,2,FALSE)</f>
        <v>#N/A</v>
      </c>
      <c r="BJ20" s="172" t="e">
        <f>VLOOKUP(H20,Data!$ABW$2:$ABX$9,2,FALSE)</f>
        <v>#N/A</v>
      </c>
      <c r="BK20" s="172" t="e">
        <f>VLOOKUP(H20,Data!$ABW$2:$ABY$8,3,FALSE)</f>
        <v>#N/A</v>
      </c>
      <c r="BL20" s="172" t="str">
        <f t="shared" si="0"/>
        <v/>
      </c>
      <c r="BM20" s="172" t="str">
        <f t="shared" si="1"/>
        <v/>
      </c>
      <c r="BN20" s="172" t="str">
        <f t="shared" si="4"/>
        <v/>
      </c>
      <c r="BO20" s="33" t="e">
        <f t="shared" si="5"/>
        <v>#DIV/0!</v>
      </c>
      <c r="BP20" s="33" t="e">
        <f t="shared" si="6"/>
        <v>#DIV/0!</v>
      </c>
      <c r="BQ20" s="33" t="e">
        <f t="shared" si="7"/>
        <v>#DIV/0!</v>
      </c>
      <c r="BR20" s="33" t="str">
        <f t="shared" si="8"/>
        <v/>
      </c>
    </row>
    <row r="21" spans="1:70" ht="30" customHeight="1" thickTop="1" thickBot="1">
      <c r="A21" s="52">
        <v>14</v>
      </c>
      <c r="B21" s="17"/>
      <c r="C21" s="17"/>
      <c r="D21" s="13"/>
      <c r="E21" s="15"/>
      <c r="F21" s="14"/>
      <c r="G21" s="14"/>
      <c r="H21" s="14"/>
      <c r="I21" s="13"/>
      <c r="J21" s="14"/>
      <c r="K21" s="14"/>
      <c r="L21" s="525"/>
      <c r="M21" s="526"/>
      <c r="N21" s="15"/>
      <c r="O21" s="15"/>
      <c r="P21" s="15"/>
      <c r="Q21" s="13"/>
      <c r="R21" s="13"/>
      <c r="S21" s="13"/>
      <c r="T21" s="689"/>
      <c r="U21" s="690"/>
      <c r="V21" s="229"/>
      <c r="W21" s="230"/>
      <c r="X21" s="269" t="e">
        <f t="shared" si="2"/>
        <v>#N/A</v>
      </c>
      <c r="Y21" s="269" t="e">
        <f>VLOOKUP(Q21,Data!$QH$2:$QI$4,2,FALSE)</f>
        <v>#N/A</v>
      </c>
      <c r="AA21" s="269" t="e">
        <f t="shared" si="3"/>
        <v>#N/A</v>
      </c>
      <c r="AD21" s="172" t="e">
        <f>IF(#REF!=Data!$KK$2,Data!$KM$1,IF(#REF!=Data!$KK$3,Data!$KN$1,IF(#REF!=Data!$KK$4,Data!$KP$1,IF(#REF!=Data!$KK$5,Data!$KQ$1))))</f>
        <v>#REF!</v>
      </c>
      <c r="AE21" s="33" t="str">
        <f>IF(D21=Data!$W$10,Data!$QJ$1,Data!$QK$1)</f>
        <v>RollerControl</v>
      </c>
      <c r="AH21" s="33" t="b">
        <f>IF(Q21=Data!$PX$2,Data!$PZ$1,IF(Q21=Data!$PX$3,Data!$PY$1,IF(Q21=Data!$PX$4,Data!$QA$1)))</f>
        <v>0</v>
      </c>
      <c r="AJ21" s="33" t="b">
        <f>IF(Q21=Data!$PX$3,Data!$QB$1,IF(Q21=Data!$PX$2,Data!$QC$1,IF(Q21=Data!$PX$4,Data!$QD$1)))</f>
        <v>0</v>
      </c>
      <c r="AL21" s="33" t="str">
        <f>IF(D21=Data!$W$3,Data!$QF$1,IF(D21=Data!$W$4,Data!$QF$1,IF(D21=Data!$W$5,Data!$QF$1,IF(D21=Data!$W$6,Data!$QF$1,IF(D21=Data!$W$7,Data!$QF$1,IF(D21=Data!$W$8,Data!$QF$1,IF(D21=Data!$W$9,Data!$QF$1,IF(D21=Data!$W$10,Data!$QE$1,IF(D21=Data!$W$11,Data!$QF$1,IF(D21=Data!$W$12,Data!$QF$1,IF(D21=Data!$W$13,Data!$QF$1,IF(D21=Data!$W$14,Data!$QF$1,IF(D21=Data!$W$15,Data!$QF$1,IF(D21=Data!$W$16,Data!$QF$1))))))))))))))</f>
        <v>RollerBracketType2</v>
      </c>
      <c r="AV21" s="40" t="e">
        <f>IF(AND(G21&lt;2130, OR(#REF!&lt;2100)),Data!$KS$1,Data!$KT$1)</f>
        <v>#REF!</v>
      </c>
      <c r="AW21" s="172" t="e">
        <f>MATCH(#REF!,Data!$LA$1:$LD$1,0)</f>
        <v>#REF!</v>
      </c>
      <c r="AX21" s="172" t="e">
        <f>MATCH('Panel Glide Blinds'!AV21,Data!$KZ$2:$KZ$3,0)</f>
        <v>#REF!</v>
      </c>
      <c r="AY21" s="172" t="e">
        <f>INDEX(Data!$LA$2:$LD$3,'Panel Glide Blinds'!AX21,'Panel Glide Blinds'!AW21)</f>
        <v>#REF!</v>
      </c>
      <c r="BB21" s="172" t="e">
        <f>IF(#REF!=Data!$QK$2,Data!$QL$1,IF(#REF!=Data!$QK$3,Data!$QM$1,IF(#REF!=Data!$QK$4,Data!$QN$1,IF(#REF!=Data!$QK$5,Data!$QO$1,IF(#REF!=Data!$QK$6,Data!$QP$1,IF(#REF!=Data!$QK$7,Data!$QQ$1,IF(#REF!=Data!$QK$8,Data!$QR$1,IF(#REF!=Data!$QK$9,Data!$QS$1,IF(#REF!=Data!$QK$10,Data!$QT$1,IF(#REF!=Data!$QK$11,Data!$QU$1))))))))))</f>
        <v>#REF!</v>
      </c>
      <c r="BC21" s="33" t="e">
        <f>IF(#REF!=Data!$QK$2,Data!$QL$17,IF(#REF!=Data!$QK$3,Data!$QM$17,IF(#REF!=Data!$QK$4,Data!$QN$17,IF(#REF!=Data!$QK$5,Data!$QO$17,IF(#REF!=Data!$QK$6,Data!$QP$17,IF(#REF!=Data!$QK$7,Data!$QQ$17,IF(#REF!=Data!$QK$8,Data!$QR$17,IF(#REF!=Data!$QK$9,Data!$QS$17,IF(#REF!=Data!$QK$10,Data!$QT$17,IF(#REF!=Data!$QK$11,Data!$QU$17))))))))))</f>
        <v>#REF!</v>
      </c>
      <c r="BD21" s="33" t="e">
        <f>IF(#REF!=Data!$PU$2,Data!$PW$1,IF(#REF!=Data!$PU$3,Data!$PW$1,IF(#REF!=Data!$PU$4,Data!$PV$1,IF(#REF!=Data!$PU$5,Data!$PV$1,))))</f>
        <v>#REF!</v>
      </c>
      <c r="BE21" s="33" t="e">
        <f>MATCH('Panel Glide Blinds'!D21,Data!$AAK$2:$AAK$15)</f>
        <v>#N/A</v>
      </c>
      <c r="BF21" s="33" t="e">
        <f>MATCH(O21,Data!$AAL$1:$AAM$1)</f>
        <v>#N/A</v>
      </c>
      <c r="BG21" s="33" t="e">
        <f>INDEX(Data!$AAL$2:$AAM$15,BE21,BF21)</f>
        <v>#N/A</v>
      </c>
      <c r="BH21" s="33" t="b">
        <f>IF(O21=Data!$ABF$1,Data!$ABD$1,IF(O21=Data!$ABF$2,Data!$ABE$1))</f>
        <v>0</v>
      </c>
      <c r="BI21" s="33" t="e">
        <f>VLOOKUP(H21,Data!$ABL$2:$ABM$8,2,FALSE)</f>
        <v>#N/A</v>
      </c>
      <c r="BJ21" s="172" t="e">
        <f>VLOOKUP(H21,Data!$ABW$2:$ABX$9,2,FALSE)</f>
        <v>#N/A</v>
      </c>
      <c r="BK21" s="172" t="e">
        <f>VLOOKUP(H21,Data!$ABW$2:$ABY$8,3,FALSE)</f>
        <v>#N/A</v>
      </c>
      <c r="BL21" s="172" t="str">
        <f t="shared" si="0"/>
        <v/>
      </c>
      <c r="BM21" s="172" t="str">
        <f t="shared" si="1"/>
        <v/>
      </c>
      <c r="BN21" s="172" t="str">
        <f t="shared" si="4"/>
        <v/>
      </c>
      <c r="BO21" s="33" t="e">
        <f t="shared" si="5"/>
        <v>#DIV/0!</v>
      </c>
      <c r="BP21" s="33" t="e">
        <f t="shared" si="6"/>
        <v>#DIV/0!</v>
      </c>
      <c r="BQ21" s="33" t="e">
        <f t="shared" si="7"/>
        <v>#DIV/0!</v>
      </c>
      <c r="BR21" s="33" t="str">
        <f t="shared" si="8"/>
        <v/>
      </c>
    </row>
    <row r="22" spans="1:70" ht="30" customHeight="1" thickTop="1" thickBot="1">
      <c r="A22" s="52">
        <v>15</v>
      </c>
      <c r="B22" s="17"/>
      <c r="C22" s="17"/>
      <c r="D22" s="13"/>
      <c r="E22" s="15"/>
      <c r="F22" s="14"/>
      <c r="G22" s="14"/>
      <c r="H22" s="14"/>
      <c r="I22" s="13"/>
      <c r="J22" s="14"/>
      <c r="K22" s="14"/>
      <c r="L22" s="525"/>
      <c r="M22" s="526"/>
      <c r="N22" s="15"/>
      <c r="O22" s="15"/>
      <c r="P22" s="15"/>
      <c r="Q22" s="13"/>
      <c r="R22" s="13"/>
      <c r="S22" s="13"/>
      <c r="T22" s="689"/>
      <c r="U22" s="690"/>
      <c r="V22" s="229"/>
      <c r="W22" s="230"/>
      <c r="X22" s="269" t="e">
        <f t="shared" si="2"/>
        <v>#N/A</v>
      </c>
      <c r="Y22" s="269" t="e">
        <f>VLOOKUP(Q22,Data!$QH$2:$QI$4,2,FALSE)</f>
        <v>#N/A</v>
      </c>
      <c r="AA22" s="269" t="e">
        <f t="shared" si="3"/>
        <v>#N/A</v>
      </c>
      <c r="AD22" s="172" t="e">
        <f>IF(#REF!=Data!$KK$2,Data!$KM$1,IF(#REF!=Data!$KK$3,Data!$KN$1,IF(#REF!=Data!$KK$4,Data!$KP$1,IF(#REF!=Data!$KK$5,Data!$KQ$1))))</f>
        <v>#REF!</v>
      </c>
      <c r="AE22" s="33" t="str">
        <f>IF(D22=Data!$W$10,Data!$QJ$1,Data!$QK$1)</f>
        <v>RollerControl</v>
      </c>
      <c r="AH22" s="33" t="b">
        <f>IF(Q22=Data!$PX$2,Data!$PZ$1,IF(Q22=Data!$PX$3,Data!$PY$1,IF(Q22=Data!$PX$4,Data!$QA$1)))</f>
        <v>0</v>
      </c>
      <c r="AJ22" s="33" t="b">
        <f>IF(Q22=Data!$PX$3,Data!$QB$1,IF(Q22=Data!$PX$2,Data!$QC$1,IF(Q22=Data!$PX$4,Data!$QD$1)))</f>
        <v>0</v>
      </c>
      <c r="AL22" s="33" t="str">
        <f>IF(D22=Data!$W$3,Data!$QF$1,IF(D22=Data!$W$4,Data!$QF$1,IF(D22=Data!$W$5,Data!$QF$1,IF(D22=Data!$W$6,Data!$QF$1,IF(D22=Data!$W$7,Data!$QF$1,IF(D22=Data!$W$8,Data!$QF$1,IF(D22=Data!$W$9,Data!$QF$1,IF(D22=Data!$W$10,Data!$QE$1,IF(D22=Data!$W$11,Data!$QF$1,IF(D22=Data!$W$12,Data!$QF$1,IF(D22=Data!$W$13,Data!$QF$1,IF(D22=Data!$W$14,Data!$QF$1,IF(D22=Data!$W$15,Data!$QF$1,IF(D22=Data!$W$16,Data!$QF$1))))))))))))))</f>
        <v>RollerBracketType2</v>
      </c>
      <c r="AV22" s="40" t="e">
        <f>IF(AND(G22&lt;2130, OR(#REF!&lt;2100)),Data!$KS$1,Data!$KT$1)</f>
        <v>#REF!</v>
      </c>
      <c r="AW22" s="172" t="e">
        <f>MATCH(#REF!,Data!$LA$1:$LD$1,0)</f>
        <v>#REF!</v>
      </c>
      <c r="AX22" s="172" t="e">
        <f>MATCH('Panel Glide Blinds'!AV22,Data!$KZ$2:$KZ$3,0)</f>
        <v>#REF!</v>
      </c>
      <c r="AY22" s="172" t="e">
        <f>INDEX(Data!$LA$2:$LD$3,'Panel Glide Blinds'!AX22,'Panel Glide Blinds'!AW22)</f>
        <v>#REF!</v>
      </c>
      <c r="BB22" s="172" t="e">
        <f>IF(#REF!=Data!$QK$2,Data!$QL$1,IF(#REF!=Data!$QK$3,Data!$QM$1,IF(#REF!=Data!$QK$4,Data!$QN$1,IF(#REF!=Data!$QK$5,Data!$QO$1,IF(#REF!=Data!$QK$6,Data!$QP$1,IF(#REF!=Data!$QK$7,Data!$QQ$1,IF(#REF!=Data!$QK$8,Data!$QR$1,IF(#REF!=Data!$QK$9,Data!$QS$1,IF(#REF!=Data!$QK$10,Data!$QT$1,IF(#REF!=Data!$QK$11,Data!$QU$1))))))))))</f>
        <v>#REF!</v>
      </c>
      <c r="BC22" s="33" t="e">
        <f>IF(#REF!=Data!$QK$2,Data!$QL$17,IF(#REF!=Data!$QK$3,Data!$QM$17,IF(#REF!=Data!$QK$4,Data!$QN$17,IF(#REF!=Data!$QK$5,Data!$QO$17,IF(#REF!=Data!$QK$6,Data!$QP$17,IF(#REF!=Data!$QK$7,Data!$QQ$17,IF(#REF!=Data!$QK$8,Data!$QR$17,IF(#REF!=Data!$QK$9,Data!$QS$17,IF(#REF!=Data!$QK$10,Data!$QT$17,IF(#REF!=Data!$QK$11,Data!$QU$17))))))))))</f>
        <v>#REF!</v>
      </c>
      <c r="BD22" s="33" t="e">
        <f>IF(#REF!=Data!$PU$2,Data!$PW$1,IF(#REF!=Data!$PU$3,Data!$PW$1,IF(#REF!=Data!$PU$4,Data!$PV$1,IF(#REF!=Data!$PU$5,Data!$PV$1,))))</f>
        <v>#REF!</v>
      </c>
      <c r="BE22" s="33" t="e">
        <f>MATCH('Panel Glide Blinds'!D22,Data!$AAK$2:$AAK$15)</f>
        <v>#N/A</v>
      </c>
      <c r="BF22" s="33" t="e">
        <f>MATCH(O22,Data!$AAL$1:$AAM$1)</f>
        <v>#N/A</v>
      </c>
      <c r="BG22" s="33" t="e">
        <f>INDEX(Data!$AAL$2:$AAM$15,BE22,BF22)</f>
        <v>#N/A</v>
      </c>
      <c r="BH22" s="33" t="b">
        <f>IF(O22=Data!$ABF$1,Data!$ABD$1,IF(O22=Data!$ABF$2,Data!$ABE$1))</f>
        <v>0</v>
      </c>
      <c r="BI22" s="33" t="e">
        <f>VLOOKUP(H22,Data!$ABL$2:$ABM$8,2,FALSE)</f>
        <v>#N/A</v>
      </c>
      <c r="BJ22" s="172" t="e">
        <f>VLOOKUP(H22,Data!$ABW$2:$ABX$9,2,FALSE)</f>
        <v>#N/A</v>
      </c>
      <c r="BK22" s="172" t="e">
        <f>VLOOKUP(H22,Data!$ABW$2:$ABY$8,3,FALSE)</f>
        <v>#N/A</v>
      </c>
      <c r="BL22" s="172" t="str">
        <f t="shared" si="0"/>
        <v/>
      </c>
      <c r="BM22" s="172" t="str">
        <f t="shared" si="1"/>
        <v/>
      </c>
      <c r="BN22" s="172" t="str">
        <f t="shared" si="4"/>
        <v/>
      </c>
      <c r="BO22" s="33" t="e">
        <f t="shared" si="5"/>
        <v>#DIV/0!</v>
      </c>
      <c r="BP22" s="33" t="e">
        <f t="shared" si="6"/>
        <v>#DIV/0!</v>
      </c>
      <c r="BQ22" s="33" t="e">
        <f t="shared" si="7"/>
        <v>#DIV/0!</v>
      </c>
      <c r="BR22" s="33" t="str">
        <f t="shared" si="8"/>
        <v/>
      </c>
    </row>
    <row r="23" spans="1:70" ht="30" customHeight="1" thickTop="1" thickBot="1">
      <c r="A23" s="52">
        <v>16</v>
      </c>
      <c r="B23" s="17"/>
      <c r="C23" s="17"/>
      <c r="D23" s="13"/>
      <c r="E23" s="15"/>
      <c r="F23" s="14"/>
      <c r="G23" s="14"/>
      <c r="H23" s="14"/>
      <c r="I23" s="13"/>
      <c r="J23" s="14"/>
      <c r="K23" s="14"/>
      <c r="L23" s="525"/>
      <c r="M23" s="526"/>
      <c r="N23" s="15"/>
      <c r="O23" s="15"/>
      <c r="P23" s="15"/>
      <c r="Q23" s="13"/>
      <c r="R23" s="13"/>
      <c r="S23" s="13"/>
      <c r="T23" s="689"/>
      <c r="U23" s="690"/>
      <c r="V23" s="229"/>
      <c r="W23" s="230"/>
      <c r="X23" s="269" t="e">
        <f t="shared" si="2"/>
        <v>#N/A</v>
      </c>
      <c r="Y23" s="269" t="e">
        <f>VLOOKUP(Q23,Data!$QH$2:$QI$4,2,FALSE)</f>
        <v>#N/A</v>
      </c>
      <c r="AA23" s="269" t="e">
        <f t="shared" si="3"/>
        <v>#N/A</v>
      </c>
      <c r="AD23" s="172" t="e">
        <f>IF(#REF!=Data!$KK$2,Data!$KM$1,IF(#REF!=Data!$KK$3,Data!$KN$1,IF(#REF!=Data!$KK$4,Data!$KP$1,IF(#REF!=Data!$KK$5,Data!$KQ$1))))</f>
        <v>#REF!</v>
      </c>
      <c r="AE23" s="33" t="str">
        <f>IF(D23=Data!$W$10,Data!$QJ$1,Data!$QK$1)</f>
        <v>RollerControl</v>
      </c>
      <c r="AH23" s="33" t="b">
        <f>IF(Q23=Data!$PX$2,Data!$PZ$1,IF(Q23=Data!$PX$3,Data!$PY$1,IF(Q23=Data!$PX$4,Data!$QA$1)))</f>
        <v>0</v>
      </c>
      <c r="AJ23" s="33" t="b">
        <f>IF(Q23=Data!$PX$3,Data!$QB$1,IF(Q23=Data!$PX$2,Data!$QC$1,IF(Q23=Data!$PX$4,Data!$QD$1)))</f>
        <v>0</v>
      </c>
      <c r="AL23" s="33" t="str">
        <f>IF(D23=Data!$W$3,Data!$QF$1,IF(D23=Data!$W$4,Data!$QF$1,IF(D23=Data!$W$5,Data!$QF$1,IF(D23=Data!$W$6,Data!$QF$1,IF(D23=Data!$W$7,Data!$QF$1,IF(D23=Data!$W$8,Data!$QF$1,IF(D23=Data!$W$9,Data!$QF$1,IF(D23=Data!$W$10,Data!$QE$1,IF(D23=Data!$W$11,Data!$QF$1,IF(D23=Data!$W$12,Data!$QF$1,IF(D23=Data!$W$13,Data!$QF$1,IF(D23=Data!$W$14,Data!$QF$1,IF(D23=Data!$W$15,Data!$QF$1,IF(D23=Data!$W$16,Data!$QF$1))))))))))))))</f>
        <v>RollerBracketType2</v>
      </c>
      <c r="AV23" s="40" t="e">
        <f>IF(AND(G23&lt;2130, OR(#REF!&lt;2100)),Data!$KS$1,Data!$KT$1)</f>
        <v>#REF!</v>
      </c>
      <c r="AW23" s="172" t="e">
        <f>MATCH(#REF!,Data!$LA$1:$LD$1,0)</f>
        <v>#REF!</v>
      </c>
      <c r="AX23" s="172" t="e">
        <f>MATCH('Panel Glide Blinds'!AV23,Data!$KZ$2:$KZ$3,0)</f>
        <v>#REF!</v>
      </c>
      <c r="AY23" s="172" t="e">
        <f>INDEX(Data!$LA$2:$LD$3,'Panel Glide Blinds'!AX23,'Panel Glide Blinds'!AW23)</f>
        <v>#REF!</v>
      </c>
      <c r="BB23" s="172" t="e">
        <f>IF(#REF!=Data!$QK$2,Data!$QL$1,IF(#REF!=Data!$QK$3,Data!$QM$1,IF(#REF!=Data!$QK$4,Data!$QN$1,IF(#REF!=Data!$QK$5,Data!$QO$1,IF(#REF!=Data!$QK$6,Data!$QP$1,IF(#REF!=Data!$QK$7,Data!$QQ$1,IF(#REF!=Data!$QK$8,Data!$QR$1,IF(#REF!=Data!$QK$9,Data!$QS$1,IF(#REF!=Data!$QK$10,Data!$QT$1,IF(#REF!=Data!$QK$11,Data!$QU$1))))))))))</f>
        <v>#REF!</v>
      </c>
      <c r="BC23" s="33" t="e">
        <f>IF(#REF!=Data!$QK$2,Data!$QL$17,IF(#REF!=Data!$QK$3,Data!$QM$17,IF(#REF!=Data!$QK$4,Data!$QN$17,IF(#REF!=Data!$QK$5,Data!$QO$17,IF(#REF!=Data!$QK$6,Data!$QP$17,IF(#REF!=Data!$QK$7,Data!$QQ$17,IF(#REF!=Data!$QK$8,Data!$QR$17,IF(#REF!=Data!$QK$9,Data!$QS$17,IF(#REF!=Data!$QK$10,Data!$QT$17,IF(#REF!=Data!$QK$11,Data!$QU$17))))))))))</f>
        <v>#REF!</v>
      </c>
      <c r="BD23" s="33" t="e">
        <f>IF(#REF!=Data!$PU$2,Data!$PW$1,IF(#REF!=Data!$PU$3,Data!$PW$1,IF(#REF!=Data!$PU$4,Data!$PV$1,IF(#REF!=Data!$PU$5,Data!$PV$1,))))</f>
        <v>#REF!</v>
      </c>
      <c r="BE23" s="33" t="e">
        <f>MATCH('Panel Glide Blinds'!D23,Data!$AAK$2:$AAK$15)</f>
        <v>#N/A</v>
      </c>
      <c r="BF23" s="33" t="e">
        <f>MATCH(O23,Data!$AAL$1:$AAM$1)</f>
        <v>#N/A</v>
      </c>
      <c r="BG23" s="33" t="e">
        <f>INDEX(Data!$AAL$2:$AAM$15,BE23,BF23)</f>
        <v>#N/A</v>
      </c>
      <c r="BH23" s="33" t="b">
        <f>IF(O23=Data!$ABF$1,Data!$ABD$1,IF(O23=Data!$ABF$2,Data!$ABE$1))</f>
        <v>0</v>
      </c>
      <c r="BI23" s="33" t="e">
        <f>VLOOKUP(H23,Data!$ABL$2:$ABM$8,2,FALSE)</f>
        <v>#N/A</v>
      </c>
      <c r="BJ23" s="172" t="e">
        <f>VLOOKUP(H23,Data!$ABW$2:$ABX$9,2,FALSE)</f>
        <v>#N/A</v>
      </c>
      <c r="BK23" s="172" t="e">
        <f>VLOOKUP(H23,Data!$ABW$2:$ABY$8,3,FALSE)</f>
        <v>#N/A</v>
      </c>
      <c r="BL23" s="172" t="str">
        <f t="shared" si="0"/>
        <v/>
      </c>
      <c r="BM23" s="172" t="str">
        <f t="shared" si="1"/>
        <v/>
      </c>
      <c r="BN23" s="172" t="str">
        <f t="shared" si="4"/>
        <v/>
      </c>
      <c r="BO23" s="33" t="e">
        <f t="shared" si="5"/>
        <v>#DIV/0!</v>
      </c>
      <c r="BP23" s="33" t="e">
        <f t="shared" si="6"/>
        <v>#DIV/0!</v>
      </c>
      <c r="BQ23" s="33" t="e">
        <f t="shared" si="7"/>
        <v>#DIV/0!</v>
      </c>
      <c r="BR23" s="33" t="str">
        <f t="shared" si="8"/>
        <v/>
      </c>
    </row>
    <row r="24" spans="1:70" ht="30" customHeight="1" thickTop="1" thickBot="1">
      <c r="A24" s="52">
        <v>17</v>
      </c>
      <c r="B24" s="17"/>
      <c r="C24" s="17"/>
      <c r="D24" s="19"/>
      <c r="E24" s="15"/>
      <c r="F24" s="14"/>
      <c r="G24" s="14"/>
      <c r="H24" s="14"/>
      <c r="I24" s="13"/>
      <c r="J24" s="14"/>
      <c r="K24" s="14"/>
      <c r="L24" s="525"/>
      <c r="M24" s="526"/>
      <c r="N24" s="15"/>
      <c r="O24" s="15"/>
      <c r="P24" s="15"/>
      <c r="Q24" s="13"/>
      <c r="R24" s="13"/>
      <c r="S24" s="13"/>
      <c r="T24" s="689"/>
      <c r="U24" s="690"/>
      <c r="V24" s="229"/>
      <c r="W24" s="230"/>
      <c r="X24" s="269" t="e">
        <f t="shared" si="2"/>
        <v>#N/A</v>
      </c>
      <c r="Y24" s="269" t="e">
        <f>VLOOKUP(Q24,Data!$QH$2:$QI$4,2,FALSE)</f>
        <v>#N/A</v>
      </c>
      <c r="AA24" s="269" t="e">
        <f t="shared" si="3"/>
        <v>#N/A</v>
      </c>
      <c r="AD24" s="172" t="e">
        <f>IF(#REF!=Data!$KK$2,Data!$KM$1,IF(#REF!=Data!$KK$3,Data!$KN$1,IF(#REF!=Data!$KK$4,Data!$KP$1,IF(#REF!=Data!$KK$5,Data!$KQ$1))))</f>
        <v>#REF!</v>
      </c>
      <c r="AE24" s="33" t="str">
        <f>IF(D24=Data!$W$10,Data!$QJ$1,Data!$QK$1)</f>
        <v>RollerControl</v>
      </c>
      <c r="AH24" s="33" t="b">
        <f>IF(Q24=Data!$PX$2,Data!$PZ$1,IF(Q24=Data!$PX$3,Data!$PY$1,IF(Q24=Data!$PX$4,Data!$QA$1)))</f>
        <v>0</v>
      </c>
      <c r="AJ24" s="33" t="b">
        <f>IF(Q24=Data!$PX$3,Data!$QB$1,IF(Q24=Data!$PX$2,Data!$QC$1,IF(Q24=Data!$PX$4,Data!$QD$1)))</f>
        <v>0</v>
      </c>
      <c r="AL24" s="33" t="str">
        <f>IF(D24=Data!$W$3,Data!$QF$1,IF(D24=Data!$W$4,Data!$QF$1,IF(D24=Data!$W$5,Data!$QF$1,IF(D24=Data!$W$6,Data!$QF$1,IF(D24=Data!$W$7,Data!$QF$1,IF(D24=Data!$W$8,Data!$QF$1,IF(D24=Data!$W$9,Data!$QF$1,IF(D24=Data!$W$10,Data!$QE$1,IF(D24=Data!$W$11,Data!$QF$1,IF(D24=Data!$W$12,Data!$QF$1,IF(D24=Data!$W$13,Data!$QF$1,IF(D24=Data!$W$14,Data!$QF$1,IF(D24=Data!$W$15,Data!$QF$1,IF(D24=Data!$W$16,Data!$QF$1))))))))))))))</f>
        <v>RollerBracketType2</v>
      </c>
      <c r="AV24" s="40" t="e">
        <f>IF(AND(G24&lt;2130, OR(#REF!&lt;2100)),Data!$KS$1,Data!$KT$1)</f>
        <v>#REF!</v>
      </c>
      <c r="AW24" s="172" t="e">
        <f>MATCH(#REF!,Data!$LA$1:$LD$1,0)</f>
        <v>#REF!</v>
      </c>
      <c r="AX24" s="172" t="e">
        <f>MATCH('Panel Glide Blinds'!AV24,Data!$KZ$2:$KZ$3,0)</f>
        <v>#REF!</v>
      </c>
      <c r="AY24" s="172" t="e">
        <f>INDEX(Data!$LA$2:$LD$3,'Panel Glide Blinds'!AX24,'Panel Glide Blinds'!AW24)</f>
        <v>#REF!</v>
      </c>
      <c r="BB24" s="172" t="e">
        <f>IF(#REF!=Data!$QK$2,Data!$QL$1,IF(#REF!=Data!$QK$3,Data!$QM$1,IF(#REF!=Data!$QK$4,Data!$QN$1,IF(#REF!=Data!$QK$5,Data!$QO$1,IF(#REF!=Data!$QK$6,Data!$QP$1,IF(#REF!=Data!$QK$7,Data!$QQ$1,IF(#REF!=Data!$QK$8,Data!$QR$1,IF(#REF!=Data!$QK$9,Data!$QS$1,IF(#REF!=Data!$QK$10,Data!$QT$1,IF(#REF!=Data!$QK$11,Data!$QU$1))))))))))</f>
        <v>#REF!</v>
      </c>
      <c r="BC24" s="33" t="e">
        <f>IF(#REF!=Data!$QK$2,Data!$QL$17,IF(#REF!=Data!$QK$3,Data!$QM$17,IF(#REF!=Data!$QK$4,Data!$QN$17,IF(#REF!=Data!$QK$5,Data!$QO$17,IF(#REF!=Data!$QK$6,Data!$QP$17,IF(#REF!=Data!$QK$7,Data!$QQ$17,IF(#REF!=Data!$QK$8,Data!$QR$17,IF(#REF!=Data!$QK$9,Data!$QS$17,IF(#REF!=Data!$QK$10,Data!$QT$17,IF(#REF!=Data!$QK$11,Data!$QU$17))))))))))</f>
        <v>#REF!</v>
      </c>
      <c r="BD24" s="33" t="e">
        <f>IF(#REF!=Data!$PU$2,Data!$PW$1,IF(#REF!=Data!$PU$3,Data!$PW$1,IF(#REF!=Data!$PU$4,Data!$PV$1,IF(#REF!=Data!$PU$5,Data!$PV$1,))))</f>
        <v>#REF!</v>
      </c>
      <c r="BE24" s="33" t="e">
        <f>MATCH('Panel Glide Blinds'!D24,Data!$AAK$2:$AAK$15)</f>
        <v>#N/A</v>
      </c>
      <c r="BF24" s="33" t="e">
        <f>MATCH(O24,Data!$AAL$1:$AAM$1)</f>
        <v>#N/A</v>
      </c>
      <c r="BG24" s="33" t="e">
        <f>INDEX(Data!$AAL$2:$AAM$15,BE24,BF24)</f>
        <v>#N/A</v>
      </c>
      <c r="BH24" s="33" t="b">
        <f>IF(O24=Data!$ABF$1,Data!$ABD$1,IF(O24=Data!$ABF$2,Data!$ABE$1))</f>
        <v>0</v>
      </c>
      <c r="BI24" s="33" t="e">
        <f>VLOOKUP(H24,Data!$ABL$2:$ABM$8,2,FALSE)</f>
        <v>#N/A</v>
      </c>
      <c r="BJ24" s="172" t="e">
        <f>VLOOKUP(H24,Data!$ABW$2:$ABX$9,2,FALSE)</f>
        <v>#N/A</v>
      </c>
      <c r="BK24" s="172" t="e">
        <f>VLOOKUP(H24,Data!$ABW$2:$ABY$8,3,FALSE)</f>
        <v>#N/A</v>
      </c>
      <c r="BL24" s="172" t="str">
        <f t="shared" si="0"/>
        <v/>
      </c>
      <c r="BM24" s="172" t="str">
        <f t="shared" si="1"/>
        <v/>
      </c>
      <c r="BN24" s="172" t="str">
        <f t="shared" si="4"/>
        <v/>
      </c>
      <c r="BO24" s="33" t="e">
        <f t="shared" si="5"/>
        <v>#DIV/0!</v>
      </c>
      <c r="BP24" s="33" t="e">
        <f t="shared" si="6"/>
        <v>#DIV/0!</v>
      </c>
      <c r="BQ24" s="33" t="e">
        <f t="shared" si="7"/>
        <v>#DIV/0!</v>
      </c>
      <c r="BR24" s="33" t="str">
        <f t="shared" si="8"/>
        <v/>
      </c>
    </row>
    <row r="25" spans="1:70" ht="30" customHeight="1" thickTop="1" thickBot="1">
      <c r="A25" s="52">
        <v>18</v>
      </c>
      <c r="B25" s="17"/>
      <c r="C25" s="17"/>
      <c r="D25" s="19"/>
      <c r="E25" s="15"/>
      <c r="F25" s="14"/>
      <c r="G25" s="14"/>
      <c r="H25" s="14"/>
      <c r="I25" s="13"/>
      <c r="J25" s="14"/>
      <c r="K25" s="14"/>
      <c r="L25" s="525"/>
      <c r="M25" s="526"/>
      <c r="N25" s="15"/>
      <c r="O25" s="15"/>
      <c r="P25" s="15"/>
      <c r="Q25" s="13"/>
      <c r="R25" s="13"/>
      <c r="S25" s="13"/>
      <c r="T25" s="689"/>
      <c r="U25" s="690"/>
      <c r="V25" s="229"/>
      <c r="W25" s="230"/>
      <c r="X25" s="269" t="e">
        <f t="shared" si="2"/>
        <v>#N/A</v>
      </c>
      <c r="Y25" s="269" t="e">
        <f>VLOOKUP(Q25,Data!$QH$2:$QI$4,2,FALSE)</f>
        <v>#N/A</v>
      </c>
      <c r="AA25" s="269" t="e">
        <f t="shared" si="3"/>
        <v>#N/A</v>
      </c>
      <c r="AD25" s="172" t="e">
        <f>IF(#REF!=Data!$KK$2,Data!$KM$1,IF(#REF!=Data!$KK$3,Data!$KN$1,IF(#REF!=Data!$KK$4,Data!$KP$1,IF(#REF!=Data!$KK$5,Data!$KQ$1))))</f>
        <v>#REF!</v>
      </c>
      <c r="AE25" s="33" t="str">
        <f>IF(D25=Data!$W$10,Data!$QJ$1,Data!$QK$1)</f>
        <v>RollerControl</v>
      </c>
      <c r="AH25" s="33" t="b">
        <f>IF(Q25=Data!$PX$2,Data!$PZ$1,IF(Q25=Data!$PX$3,Data!$PY$1,IF(Q25=Data!$PX$4,Data!$QA$1)))</f>
        <v>0</v>
      </c>
      <c r="AJ25" s="33" t="b">
        <f>IF(Q25=Data!$PX$3,Data!$QB$1,IF(Q25=Data!$PX$2,Data!$QC$1,IF(Q25=Data!$PX$4,Data!$QD$1)))</f>
        <v>0</v>
      </c>
      <c r="AL25" s="33" t="str">
        <f>IF(D25=Data!$W$3,Data!$QF$1,IF(D25=Data!$W$4,Data!$QF$1,IF(D25=Data!$W$5,Data!$QF$1,IF(D25=Data!$W$6,Data!$QF$1,IF(D25=Data!$W$7,Data!$QF$1,IF(D25=Data!$W$8,Data!$QF$1,IF(D25=Data!$W$9,Data!$QF$1,IF(D25=Data!$W$10,Data!$QE$1,IF(D25=Data!$W$11,Data!$QF$1,IF(D25=Data!$W$12,Data!$QF$1,IF(D25=Data!$W$13,Data!$QF$1,IF(D25=Data!$W$14,Data!$QF$1,IF(D25=Data!$W$15,Data!$QF$1,IF(D25=Data!$W$16,Data!$QF$1))))))))))))))</f>
        <v>RollerBracketType2</v>
      </c>
      <c r="AV25" s="40" t="e">
        <f>IF(AND(G25&lt;2130, OR(#REF!&lt;2100)),Data!$KS$1,Data!$KT$1)</f>
        <v>#REF!</v>
      </c>
      <c r="AW25" s="172" t="e">
        <f>MATCH(#REF!,Data!$LA$1:$LD$1,0)</f>
        <v>#REF!</v>
      </c>
      <c r="AX25" s="172" t="e">
        <f>MATCH('Panel Glide Blinds'!AV25,Data!$KZ$2:$KZ$3,0)</f>
        <v>#REF!</v>
      </c>
      <c r="AY25" s="172" t="e">
        <f>INDEX(Data!$LA$2:$LD$3,'Panel Glide Blinds'!AX25,'Panel Glide Blinds'!AW25)</f>
        <v>#REF!</v>
      </c>
      <c r="BB25" s="172" t="e">
        <f>IF(#REF!=Data!$QK$2,Data!$QL$1,IF(#REF!=Data!$QK$3,Data!$QM$1,IF(#REF!=Data!$QK$4,Data!$QN$1,IF(#REF!=Data!$QK$5,Data!$QO$1,IF(#REF!=Data!$QK$6,Data!$QP$1,IF(#REF!=Data!$QK$7,Data!$QQ$1,IF(#REF!=Data!$QK$8,Data!$QR$1,IF(#REF!=Data!$QK$9,Data!$QS$1,IF(#REF!=Data!$QK$10,Data!$QT$1,IF(#REF!=Data!$QK$11,Data!$QU$1))))))))))</f>
        <v>#REF!</v>
      </c>
      <c r="BC25" s="33" t="e">
        <f>IF(#REF!=Data!$QK$2,Data!$QL$17,IF(#REF!=Data!$QK$3,Data!$QM$17,IF(#REF!=Data!$QK$4,Data!$QN$17,IF(#REF!=Data!$QK$5,Data!$QO$17,IF(#REF!=Data!$QK$6,Data!$QP$17,IF(#REF!=Data!$QK$7,Data!$QQ$17,IF(#REF!=Data!$QK$8,Data!$QR$17,IF(#REF!=Data!$QK$9,Data!$QS$17,IF(#REF!=Data!$QK$10,Data!$QT$17,IF(#REF!=Data!$QK$11,Data!$QU$17))))))))))</f>
        <v>#REF!</v>
      </c>
      <c r="BD25" s="33" t="e">
        <f>IF(#REF!=Data!$PU$2,Data!$PW$1,IF(#REF!=Data!$PU$3,Data!$PW$1,IF(#REF!=Data!$PU$4,Data!$PV$1,IF(#REF!=Data!$PU$5,Data!$PV$1,))))</f>
        <v>#REF!</v>
      </c>
      <c r="BE25" s="33" t="e">
        <f>MATCH('Panel Glide Blinds'!D25,Data!$AAK$2:$AAK$15)</f>
        <v>#N/A</v>
      </c>
      <c r="BF25" s="33" t="e">
        <f>MATCH(O25,Data!$AAL$1:$AAM$1)</f>
        <v>#N/A</v>
      </c>
      <c r="BG25" s="33" t="e">
        <f>INDEX(Data!$AAL$2:$AAM$15,BE25,BF25)</f>
        <v>#N/A</v>
      </c>
      <c r="BH25" s="33" t="b">
        <f>IF(O25=Data!$ABF$1,Data!$ABD$1,IF(O25=Data!$ABF$2,Data!$ABE$1))</f>
        <v>0</v>
      </c>
      <c r="BI25" s="33" t="e">
        <f>VLOOKUP(H25,Data!$ABL$2:$ABM$8,2,FALSE)</f>
        <v>#N/A</v>
      </c>
      <c r="BJ25" s="172" t="e">
        <f>VLOOKUP(H25,Data!$ABW$2:$ABX$9,2,FALSE)</f>
        <v>#N/A</v>
      </c>
      <c r="BK25" s="172" t="e">
        <f>VLOOKUP(H25,Data!$ABW$2:$ABY$8,3,FALSE)</f>
        <v>#N/A</v>
      </c>
      <c r="BL25" s="172" t="str">
        <f t="shared" si="0"/>
        <v/>
      </c>
      <c r="BM25" s="172" t="str">
        <f t="shared" si="1"/>
        <v/>
      </c>
      <c r="BN25" s="172" t="str">
        <f t="shared" si="4"/>
        <v/>
      </c>
      <c r="BO25" s="33" t="e">
        <f t="shared" si="5"/>
        <v>#DIV/0!</v>
      </c>
      <c r="BP25" s="33" t="e">
        <f t="shared" si="6"/>
        <v>#DIV/0!</v>
      </c>
      <c r="BQ25" s="33" t="e">
        <f t="shared" si="7"/>
        <v>#DIV/0!</v>
      </c>
      <c r="BR25" s="33" t="str">
        <f t="shared" si="8"/>
        <v/>
      </c>
    </row>
    <row r="26" spans="1:70" ht="30" customHeight="1" thickTop="1" thickBot="1">
      <c r="A26" s="52">
        <v>19</v>
      </c>
      <c r="B26" s="17"/>
      <c r="C26" s="17"/>
      <c r="D26" s="19"/>
      <c r="E26" s="15"/>
      <c r="F26" s="14"/>
      <c r="G26" s="14"/>
      <c r="H26" s="14"/>
      <c r="I26" s="13"/>
      <c r="J26" s="14"/>
      <c r="K26" s="14"/>
      <c r="L26" s="525"/>
      <c r="M26" s="526"/>
      <c r="N26" s="15"/>
      <c r="O26" s="15"/>
      <c r="P26" s="15"/>
      <c r="Q26" s="13"/>
      <c r="R26" s="13"/>
      <c r="S26" s="13"/>
      <c r="T26" s="689"/>
      <c r="U26" s="690"/>
      <c r="V26" s="229"/>
      <c r="W26" s="230"/>
      <c r="X26" s="269" t="e">
        <f t="shared" si="2"/>
        <v>#N/A</v>
      </c>
      <c r="Y26" s="269" t="e">
        <f>VLOOKUP(Q26,Data!$QH$2:$QI$4,2,FALSE)</f>
        <v>#N/A</v>
      </c>
      <c r="AA26" s="269" t="e">
        <f t="shared" si="3"/>
        <v>#N/A</v>
      </c>
      <c r="AD26" s="172" t="e">
        <f>IF(#REF!=Data!$KK$2,Data!$KM$1,IF(#REF!=Data!$KK$3,Data!$KN$1,IF(#REF!=Data!$KK$4,Data!$KP$1,IF(#REF!=Data!$KK$5,Data!$KQ$1))))</f>
        <v>#REF!</v>
      </c>
      <c r="AE26" s="33" t="str">
        <f>IF(D26=Data!$W$10,Data!$QJ$1,Data!$QK$1)</f>
        <v>RollerControl</v>
      </c>
      <c r="AH26" s="33" t="b">
        <f>IF(Q26=Data!$PX$2,Data!$PZ$1,IF(Q26=Data!$PX$3,Data!$PY$1,IF(Q26=Data!$PX$4,Data!$QA$1)))</f>
        <v>0</v>
      </c>
      <c r="AJ26" s="33" t="b">
        <f>IF(Q26=Data!$PX$3,Data!$QB$1,IF(Q26=Data!$PX$2,Data!$QC$1,IF(Q26=Data!$PX$4,Data!$QD$1)))</f>
        <v>0</v>
      </c>
      <c r="AL26" s="33" t="str">
        <f>IF(D26=Data!$W$3,Data!$QF$1,IF(D26=Data!$W$4,Data!$QF$1,IF(D26=Data!$W$5,Data!$QF$1,IF(D26=Data!$W$6,Data!$QF$1,IF(D26=Data!$W$7,Data!$QF$1,IF(D26=Data!$W$8,Data!$QF$1,IF(D26=Data!$W$9,Data!$QF$1,IF(D26=Data!$W$10,Data!$QE$1,IF(D26=Data!$W$11,Data!$QF$1,IF(D26=Data!$W$12,Data!$QF$1,IF(D26=Data!$W$13,Data!$QF$1,IF(D26=Data!$W$14,Data!$QF$1,IF(D26=Data!$W$15,Data!$QF$1,IF(D26=Data!$W$16,Data!$QF$1))))))))))))))</f>
        <v>RollerBracketType2</v>
      </c>
      <c r="AV26" s="40" t="e">
        <f>IF(AND(G26&lt;2130, OR(#REF!&lt;2100)),Data!$KS$1,Data!$KT$1)</f>
        <v>#REF!</v>
      </c>
      <c r="AW26" s="172" t="e">
        <f>MATCH(#REF!,Data!$LA$1:$LD$1,0)</f>
        <v>#REF!</v>
      </c>
      <c r="AX26" s="172" t="e">
        <f>MATCH('Panel Glide Blinds'!AV26,Data!$KZ$2:$KZ$3,0)</f>
        <v>#REF!</v>
      </c>
      <c r="AY26" s="172" t="e">
        <f>INDEX(Data!$LA$2:$LD$3,'Panel Glide Blinds'!AX26,'Panel Glide Blinds'!AW26)</f>
        <v>#REF!</v>
      </c>
      <c r="BB26" s="172" t="e">
        <f>IF(#REF!=Data!$QK$2,Data!$QL$1,IF(#REF!=Data!$QK$3,Data!$QM$1,IF(#REF!=Data!$QK$4,Data!$QN$1,IF(#REF!=Data!$QK$5,Data!$QO$1,IF(#REF!=Data!$QK$6,Data!$QP$1,IF(#REF!=Data!$QK$7,Data!$QQ$1,IF(#REF!=Data!$QK$8,Data!$QR$1,IF(#REF!=Data!$QK$9,Data!$QS$1,IF(#REF!=Data!$QK$10,Data!$QT$1,IF(#REF!=Data!$QK$11,Data!$QU$1))))))))))</f>
        <v>#REF!</v>
      </c>
      <c r="BC26" s="33" t="e">
        <f>IF(#REF!=Data!$QK$2,Data!$QL$17,IF(#REF!=Data!$QK$3,Data!$QM$17,IF(#REF!=Data!$QK$4,Data!$QN$17,IF(#REF!=Data!$QK$5,Data!$QO$17,IF(#REF!=Data!$QK$6,Data!$QP$17,IF(#REF!=Data!$QK$7,Data!$QQ$17,IF(#REF!=Data!$QK$8,Data!$QR$17,IF(#REF!=Data!$QK$9,Data!$QS$17,IF(#REF!=Data!$QK$10,Data!$QT$17,IF(#REF!=Data!$QK$11,Data!$QU$17))))))))))</f>
        <v>#REF!</v>
      </c>
      <c r="BD26" s="33" t="e">
        <f>IF(#REF!=Data!$PU$2,Data!$PW$1,IF(#REF!=Data!$PU$3,Data!$PW$1,IF(#REF!=Data!$PU$4,Data!$PV$1,IF(#REF!=Data!$PU$5,Data!$PV$1,))))</f>
        <v>#REF!</v>
      </c>
      <c r="BE26" s="33" t="e">
        <f>MATCH('Panel Glide Blinds'!D26,Data!$AAK$2:$AAK$15)</f>
        <v>#N/A</v>
      </c>
      <c r="BF26" s="33" t="e">
        <f>MATCH(O26,Data!$AAL$1:$AAM$1)</f>
        <v>#N/A</v>
      </c>
      <c r="BG26" s="33" t="e">
        <f>INDEX(Data!$AAL$2:$AAM$15,BE26,BF26)</f>
        <v>#N/A</v>
      </c>
      <c r="BH26" s="33" t="b">
        <f>IF(O26=Data!$ABF$1,Data!$ABD$1,IF(O26=Data!$ABF$2,Data!$ABE$1))</f>
        <v>0</v>
      </c>
      <c r="BI26" s="33" t="e">
        <f>VLOOKUP(H26,Data!$ABL$2:$ABM$8,2,FALSE)</f>
        <v>#N/A</v>
      </c>
      <c r="BJ26" s="172" t="e">
        <f>VLOOKUP(H26,Data!$ABW$2:$ABX$9,2,FALSE)</f>
        <v>#N/A</v>
      </c>
      <c r="BK26" s="172" t="e">
        <f>VLOOKUP(H26,Data!$ABW$2:$ABY$8,3,FALSE)</f>
        <v>#N/A</v>
      </c>
      <c r="BL26" s="172" t="str">
        <f t="shared" si="0"/>
        <v/>
      </c>
      <c r="BM26" s="172" t="str">
        <f t="shared" si="1"/>
        <v/>
      </c>
      <c r="BN26" s="172" t="str">
        <f t="shared" si="4"/>
        <v/>
      </c>
      <c r="BO26" s="33" t="e">
        <f t="shared" si="5"/>
        <v>#DIV/0!</v>
      </c>
      <c r="BP26" s="33" t="e">
        <f t="shared" si="6"/>
        <v>#DIV/0!</v>
      </c>
      <c r="BQ26" s="33" t="e">
        <f t="shared" si="7"/>
        <v>#DIV/0!</v>
      </c>
      <c r="BR26" s="33" t="str">
        <f t="shared" si="8"/>
        <v/>
      </c>
    </row>
    <row r="27" spans="1:70" ht="30" customHeight="1" thickTop="1" thickBot="1">
      <c r="A27" s="52">
        <v>20</v>
      </c>
      <c r="B27" s="13"/>
      <c r="C27" s="13"/>
      <c r="D27" s="13"/>
      <c r="E27" s="15"/>
      <c r="F27" s="14"/>
      <c r="G27" s="14"/>
      <c r="H27" s="14"/>
      <c r="I27" s="13"/>
      <c r="J27" s="14"/>
      <c r="K27" s="14"/>
      <c r="L27" s="525"/>
      <c r="M27" s="526"/>
      <c r="N27" s="15"/>
      <c r="O27" s="15"/>
      <c r="P27" s="15"/>
      <c r="Q27" s="13"/>
      <c r="R27" s="13"/>
      <c r="S27" s="13"/>
      <c r="T27" s="689"/>
      <c r="U27" s="690"/>
      <c r="V27" s="229"/>
      <c r="W27" s="230"/>
      <c r="X27" s="269" t="e">
        <f t="shared" si="2"/>
        <v>#N/A</v>
      </c>
      <c r="Y27" s="269" t="e">
        <f>VLOOKUP(Q27,Data!$QH$2:$QI$4,2,FALSE)</f>
        <v>#N/A</v>
      </c>
      <c r="AA27" s="269" t="e">
        <f t="shared" si="3"/>
        <v>#N/A</v>
      </c>
      <c r="AD27" s="172" t="e">
        <f>IF(#REF!=Data!$KK$2,Data!$KM$1,IF(#REF!=Data!$KK$3,Data!$KN$1,IF(#REF!=Data!$KK$4,Data!$KP$1,IF(#REF!=Data!$KK$5,Data!$KQ$1))))</f>
        <v>#REF!</v>
      </c>
      <c r="AE27" s="33" t="str">
        <f>IF(D27=Data!$W$10,Data!$QJ$1,Data!$QK$1)</f>
        <v>RollerControl</v>
      </c>
      <c r="AH27" s="33" t="b">
        <f>IF(Q27=Data!$PX$2,Data!$PZ$1,IF(Q27=Data!$PX$3,Data!$PY$1,IF(Q27=Data!$PX$4,Data!$QA$1)))</f>
        <v>0</v>
      </c>
      <c r="AJ27" s="33" t="b">
        <f>IF(Q27=Data!$PX$3,Data!$QB$1,IF(Q27=Data!$PX$2,Data!$QC$1,IF(Q27=Data!$PX$4,Data!$QD$1)))</f>
        <v>0</v>
      </c>
      <c r="AL27" s="33" t="str">
        <f>IF(D27=Data!$W$3,Data!$QF$1,IF(D27=Data!$W$4,Data!$QF$1,IF(D27=Data!$W$5,Data!$QF$1,IF(D27=Data!$W$6,Data!$QF$1,IF(D27=Data!$W$7,Data!$QF$1,IF(D27=Data!$W$8,Data!$QF$1,IF(D27=Data!$W$9,Data!$QF$1,IF(D27=Data!$W$10,Data!$QE$1,IF(D27=Data!$W$11,Data!$QF$1,IF(D27=Data!$W$12,Data!$QF$1,IF(D27=Data!$W$13,Data!$QF$1,IF(D27=Data!$W$14,Data!$QF$1,IF(D27=Data!$W$15,Data!$QF$1,IF(D27=Data!$W$16,Data!$QF$1))))))))))))))</f>
        <v>RollerBracketType2</v>
      </c>
      <c r="AV27" s="40" t="e">
        <f>IF(AND(G27&lt;2130, OR(#REF!&lt;2100)),Data!$KS$1,Data!$KT$1)</f>
        <v>#REF!</v>
      </c>
      <c r="AW27" s="172" t="e">
        <f>MATCH(#REF!,Data!$LA$1:$LD$1,0)</f>
        <v>#REF!</v>
      </c>
      <c r="AX27" s="172" t="e">
        <f>MATCH('Panel Glide Blinds'!AV27,Data!$KZ$2:$KZ$3,0)</f>
        <v>#REF!</v>
      </c>
      <c r="AY27" s="172" t="e">
        <f>INDEX(Data!$LA$2:$LD$3,'Panel Glide Blinds'!AX27,'Panel Glide Blinds'!AW27)</f>
        <v>#REF!</v>
      </c>
      <c r="BB27" s="172" t="e">
        <f>IF(#REF!=Data!$QK$2,Data!$QL$1,IF(#REF!=Data!$QK$3,Data!$QM$1,IF(#REF!=Data!$QK$4,Data!$QN$1,IF(#REF!=Data!$QK$5,Data!$QO$1,IF(#REF!=Data!$QK$6,Data!$QP$1,IF(#REF!=Data!$QK$7,Data!$QQ$1,IF(#REF!=Data!$QK$8,Data!$QR$1,IF(#REF!=Data!$QK$9,Data!$QS$1,IF(#REF!=Data!$QK$10,Data!$QT$1,IF(#REF!=Data!$QK$11,Data!$QU$1))))))))))</f>
        <v>#REF!</v>
      </c>
      <c r="BC27" s="33" t="e">
        <f>IF(#REF!=Data!$QK$2,Data!$QL$17,IF(#REF!=Data!$QK$3,Data!$QM$17,IF(#REF!=Data!$QK$4,Data!$QN$17,IF(#REF!=Data!$QK$5,Data!$QO$17,IF(#REF!=Data!$QK$6,Data!$QP$17,IF(#REF!=Data!$QK$7,Data!$QQ$17,IF(#REF!=Data!$QK$8,Data!$QR$17,IF(#REF!=Data!$QK$9,Data!$QS$17,IF(#REF!=Data!$QK$10,Data!$QT$17,IF(#REF!=Data!$QK$11,Data!$QU$17))))))))))</f>
        <v>#REF!</v>
      </c>
      <c r="BD27" s="33" t="e">
        <f>IF(#REF!=Data!$PU$2,Data!$PW$1,IF(#REF!=Data!$PU$3,Data!$PW$1,IF(#REF!=Data!$PU$4,Data!$PV$1,IF(#REF!=Data!$PU$5,Data!$PV$1,))))</f>
        <v>#REF!</v>
      </c>
      <c r="BE27" s="33" t="e">
        <f>MATCH('Panel Glide Blinds'!D27,Data!$AAK$2:$AAK$15)</f>
        <v>#N/A</v>
      </c>
      <c r="BF27" s="33" t="e">
        <f>MATCH(O27,Data!$AAL$1:$AAM$1)</f>
        <v>#N/A</v>
      </c>
      <c r="BG27" s="33" t="e">
        <f>INDEX(Data!$AAL$2:$AAM$15,BE27,BF27)</f>
        <v>#N/A</v>
      </c>
      <c r="BH27" s="33" t="b">
        <f>IF(O27=Data!$ABF$1,Data!$ABD$1,IF(O27=Data!$ABF$2,Data!$ABE$1))</f>
        <v>0</v>
      </c>
      <c r="BI27" s="33" t="e">
        <f>VLOOKUP(H27,Data!$ABL$2:$ABM$8,2,FALSE)</f>
        <v>#N/A</v>
      </c>
      <c r="BJ27" s="172" t="e">
        <f>VLOOKUP(H27,Data!$ABW$2:$ABX$9,2,FALSE)</f>
        <v>#N/A</v>
      </c>
      <c r="BK27" s="172" t="e">
        <f>VLOOKUP(H27,Data!$ABW$2:$ABY$8,3,FALSE)</f>
        <v>#N/A</v>
      </c>
      <c r="BL27" s="172" t="str">
        <f t="shared" si="0"/>
        <v/>
      </c>
      <c r="BM27" s="172" t="str">
        <f t="shared" si="1"/>
        <v/>
      </c>
      <c r="BN27" s="172" t="str">
        <f t="shared" si="4"/>
        <v/>
      </c>
      <c r="BO27" s="33" t="e">
        <f t="shared" si="5"/>
        <v>#DIV/0!</v>
      </c>
      <c r="BP27" s="33" t="e">
        <f t="shared" si="6"/>
        <v>#DIV/0!</v>
      </c>
      <c r="BQ27" s="33" t="e">
        <f t="shared" si="7"/>
        <v>#DIV/0!</v>
      </c>
      <c r="BR27" s="33" t="str">
        <f t="shared" si="8"/>
        <v/>
      </c>
    </row>
    <row r="28" spans="1:70" ht="30" customHeight="1" thickTop="1" thickBot="1">
      <c r="A28" s="52">
        <v>21</v>
      </c>
      <c r="B28" s="13"/>
      <c r="C28" s="13"/>
      <c r="D28" s="19"/>
      <c r="E28" s="15"/>
      <c r="F28" s="14"/>
      <c r="G28" s="14"/>
      <c r="H28" s="14"/>
      <c r="I28" s="13"/>
      <c r="J28" s="14"/>
      <c r="K28" s="14"/>
      <c r="L28" s="525"/>
      <c r="M28" s="526"/>
      <c r="N28" s="15"/>
      <c r="O28" s="15"/>
      <c r="P28" s="15"/>
      <c r="Q28" s="13"/>
      <c r="R28" s="13"/>
      <c r="S28" s="13"/>
      <c r="T28" s="689"/>
      <c r="U28" s="690"/>
      <c r="V28" s="229"/>
      <c r="W28" s="230"/>
      <c r="X28" s="269" t="e">
        <f t="shared" si="2"/>
        <v>#N/A</v>
      </c>
      <c r="Y28" s="269" t="e">
        <f>VLOOKUP(Q28,Data!$QH$2:$QI$4,2,FALSE)</f>
        <v>#N/A</v>
      </c>
      <c r="AA28" s="269" t="e">
        <f t="shared" si="3"/>
        <v>#N/A</v>
      </c>
      <c r="AD28" s="172" t="e">
        <f>IF(#REF!=Data!$KK$2,Data!$KM$1,IF(#REF!=Data!$KK$3,Data!$KN$1,IF(#REF!=Data!$KK$4,Data!$KP$1,IF(#REF!=Data!$KK$5,Data!$KQ$1))))</f>
        <v>#REF!</v>
      </c>
      <c r="AE28" s="33" t="str">
        <f>IF(D28=Data!$W$10,Data!$QJ$1,Data!$QK$1)</f>
        <v>RollerControl</v>
      </c>
      <c r="AH28" s="33" t="b">
        <f>IF(Q28=Data!$PX$2,Data!$PZ$1,IF(Q28=Data!$PX$3,Data!$PY$1,IF(Q28=Data!$PX$4,Data!$QA$1)))</f>
        <v>0</v>
      </c>
      <c r="AJ28" s="33" t="b">
        <f>IF(Q28=Data!$PX$3,Data!$QB$1,IF(Q28=Data!$PX$2,Data!$QC$1,IF(Q28=Data!$PX$4,Data!$QD$1)))</f>
        <v>0</v>
      </c>
      <c r="AL28" s="33" t="str">
        <f>IF(D28=Data!$W$3,Data!$QF$1,IF(D28=Data!$W$4,Data!$QF$1,IF(D28=Data!$W$5,Data!$QF$1,IF(D28=Data!$W$6,Data!$QF$1,IF(D28=Data!$W$7,Data!$QF$1,IF(D28=Data!$W$8,Data!$QF$1,IF(D28=Data!$W$9,Data!$QF$1,IF(D28=Data!$W$10,Data!$QE$1,IF(D28=Data!$W$11,Data!$QF$1,IF(D28=Data!$W$12,Data!$QF$1,IF(D28=Data!$W$13,Data!$QF$1,IF(D28=Data!$W$14,Data!$QF$1,IF(D28=Data!$W$15,Data!$QF$1,IF(D28=Data!$W$16,Data!$QF$1))))))))))))))</f>
        <v>RollerBracketType2</v>
      </c>
      <c r="AV28" s="40" t="e">
        <f>IF(AND(G28&lt;2130, OR(#REF!&lt;2100)),Data!$KS$1,Data!$KT$1)</f>
        <v>#REF!</v>
      </c>
      <c r="AW28" s="172" t="e">
        <f>MATCH(#REF!,Data!$LA$1:$LD$1,0)</f>
        <v>#REF!</v>
      </c>
      <c r="AX28" s="172" t="e">
        <f>MATCH('Panel Glide Blinds'!AV28,Data!$KZ$2:$KZ$3,0)</f>
        <v>#REF!</v>
      </c>
      <c r="AY28" s="172" t="e">
        <f>INDEX(Data!$LA$2:$LD$3,'Panel Glide Blinds'!AX28,'Panel Glide Blinds'!AW28)</f>
        <v>#REF!</v>
      </c>
      <c r="BB28" s="172" t="e">
        <f>IF(#REF!=Data!$QK$2,Data!$QL$1,IF(#REF!=Data!$QK$3,Data!$QM$1,IF(#REF!=Data!$QK$4,Data!$QN$1,IF(#REF!=Data!$QK$5,Data!$QO$1,IF(#REF!=Data!$QK$6,Data!$QP$1,IF(#REF!=Data!$QK$7,Data!$QQ$1,IF(#REF!=Data!$QK$8,Data!$QR$1,IF(#REF!=Data!$QK$9,Data!$QS$1,IF(#REF!=Data!$QK$10,Data!$QT$1,IF(#REF!=Data!$QK$11,Data!$QU$1))))))))))</f>
        <v>#REF!</v>
      </c>
      <c r="BC28" s="33" t="e">
        <f>IF(#REF!=Data!$QK$2,Data!$QL$17,IF(#REF!=Data!$QK$3,Data!$QM$17,IF(#REF!=Data!$QK$4,Data!$QN$17,IF(#REF!=Data!$QK$5,Data!$QO$17,IF(#REF!=Data!$QK$6,Data!$QP$17,IF(#REF!=Data!$QK$7,Data!$QQ$17,IF(#REF!=Data!$QK$8,Data!$QR$17,IF(#REF!=Data!$QK$9,Data!$QS$17,IF(#REF!=Data!$QK$10,Data!$QT$17,IF(#REF!=Data!$QK$11,Data!$QU$17))))))))))</f>
        <v>#REF!</v>
      </c>
      <c r="BD28" s="33" t="e">
        <f>IF(#REF!=Data!$PU$2,Data!$PW$1,IF(#REF!=Data!$PU$3,Data!$PW$1,IF(#REF!=Data!$PU$4,Data!$PV$1,IF(#REF!=Data!$PU$5,Data!$PV$1,))))</f>
        <v>#REF!</v>
      </c>
      <c r="BE28" s="33" t="e">
        <f>MATCH('Panel Glide Blinds'!D28,Data!$AAK$2:$AAK$15)</f>
        <v>#N/A</v>
      </c>
      <c r="BF28" s="33" t="e">
        <f>MATCH(O28,Data!$AAL$1:$AAM$1)</f>
        <v>#N/A</v>
      </c>
      <c r="BG28" s="33" t="e">
        <f>INDEX(Data!$AAL$2:$AAM$15,BE28,BF28)</f>
        <v>#N/A</v>
      </c>
      <c r="BH28" s="33" t="b">
        <f>IF(O28=Data!$ABF$1,Data!$ABD$1,IF(O28=Data!$ABF$2,Data!$ABE$1))</f>
        <v>0</v>
      </c>
      <c r="BI28" s="33" t="e">
        <f>VLOOKUP(H28,Data!$ABL$2:$ABM$8,2,FALSE)</f>
        <v>#N/A</v>
      </c>
      <c r="BJ28" s="172" t="e">
        <f>VLOOKUP(H28,Data!$ABW$2:$ABX$9,2,FALSE)</f>
        <v>#N/A</v>
      </c>
      <c r="BK28" s="172" t="e">
        <f>VLOOKUP(H28,Data!$ABW$2:$ABY$8,3,FALSE)</f>
        <v>#N/A</v>
      </c>
      <c r="BL28" s="172" t="str">
        <f t="shared" si="0"/>
        <v/>
      </c>
      <c r="BM28" s="172" t="str">
        <f t="shared" si="1"/>
        <v/>
      </c>
      <c r="BN28" s="172" t="str">
        <f t="shared" si="4"/>
        <v/>
      </c>
      <c r="BO28" s="33" t="e">
        <f t="shared" si="5"/>
        <v>#DIV/0!</v>
      </c>
      <c r="BP28" s="33" t="e">
        <f t="shared" si="6"/>
        <v>#DIV/0!</v>
      </c>
      <c r="BQ28" s="33" t="e">
        <f t="shared" si="7"/>
        <v>#DIV/0!</v>
      </c>
      <c r="BR28" s="33" t="str">
        <f t="shared" si="8"/>
        <v/>
      </c>
    </row>
    <row r="29" spans="1:70" ht="30" customHeight="1" thickTop="1" thickBot="1">
      <c r="A29" s="52">
        <v>22</v>
      </c>
      <c r="B29" s="13"/>
      <c r="C29" s="13"/>
      <c r="D29" s="19"/>
      <c r="E29" s="15"/>
      <c r="F29" s="14"/>
      <c r="G29" s="14"/>
      <c r="H29" s="14"/>
      <c r="I29" s="13"/>
      <c r="J29" s="14"/>
      <c r="K29" s="14"/>
      <c r="L29" s="525"/>
      <c r="M29" s="526"/>
      <c r="N29" s="15"/>
      <c r="O29" s="15"/>
      <c r="P29" s="15"/>
      <c r="Q29" s="13"/>
      <c r="R29" s="13"/>
      <c r="S29" s="13"/>
      <c r="T29" s="689"/>
      <c r="U29" s="690"/>
      <c r="V29" s="229"/>
      <c r="W29" s="230"/>
      <c r="X29" s="269" t="e">
        <f t="shared" si="2"/>
        <v>#N/A</v>
      </c>
      <c r="Y29" s="269" t="e">
        <f>VLOOKUP(Q29,Data!$QH$2:$QI$4,2,FALSE)</f>
        <v>#N/A</v>
      </c>
      <c r="AA29" s="269" t="e">
        <f t="shared" si="3"/>
        <v>#N/A</v>
      </c>
      <c r="AD29" s="172" t="e">
        <f>IF(#REF!=Data!$KK$2,Data!$KM$1,IF(#REF!=Data!$KK$3,Data!$KN$1,IF(#REF!=Data!$KK$4,Data!$KP$1,IF(#REF!=Data!$KK$5,Data!$KQ$1))))</f>
        <v>#REF!</v>
      </c>
      <c r="AE29" s="33" t="str">
        <f>IF(D29=Data!$W$10,Data!$QJ$1,Data!$QK$1)</f>
        <v>RollerControl</v>
      </c>
      <c r="AH29" s="33" t="b">
        <f>IF(Q29=Data!$PX$2,Data!$PZ$1,IF(Q29=Data!$PX$3,Data!$PY$1,IF(Q29=Data!$PX$4,Data!$QA$1)))</f>
        <v>0</v>
      </c>
      <c r="AJ29" s="33" t="b">
        <f>IF(Q29=Data!$PX$3,Data!$QB$1,IF(Q29=Data!$PX$2,Data!$QC$1,IF(Q29=Data!$PX$4,Data!$QD$1)))</f>
        <v>0</v>
      </c>
      <c r="AL29" s="33" t="str">
        <f>IF(D29=Data!$W$3,Data!$QF$1,IF(D29=Data!$W$4,Data!$QF$1,IF(D29=Data!$W$5,Data!$QF$1,IF(D29=Data!$W$6,Data!$QF$1,IF(D29=Data!$W$7,Data!$QF$1,IF(D29=Data!$W$8,Data!$QF$1,IF(D29=Data!$W$9,Data!$QF$1,IF(D29=Data!$W$10,Data!$QE$1,IF(D29=Data!$W$11,Data!$QF$1,IF(D29=Data!$W$12,Data!$QF$1,IF(D29=Data!$W$13,Data!$QF$1,IF(D29=Data!$W$14,Data!$QF$1,IF(D29=Data!$W$15,Data!$QF$1,IF(D29=Data!$W$16,Data!$QF$1))))))))))))))</f>
        <v>RollerBracketType2</v>
      </c>
      <c r="AV29" s="40" t="e">
        <f>IF(AND(G29&lt;2130, OR(#REF!&lt;2100)),Data!$KS$1,Data!$KT$1)</f>
        <v>#REF!</v>
      </c>
      <c r="AW29" s="172" t="e">
        <f>MATCH(#REF!,Data!$LA$1:$LD$1,0)</f>
        <v>#REF!</v>
      </c>
      <c r="AX29" s="172" t="e">
        <f>MATCH('Panel Glide Blinds'!AV29,Data!$KZ$2:$KZ$3,0)</f>
        <v>#REF!</v>
      </c>
      <c r="AY29" s="172" t="e">
        <f>INDEX(Data!$LA$2:$LD$3,'Panel Glide Blinds'!AX29,'Panel Glide Blinds'!AW29)</f>
        <v>#REF!</v>
      </c>
      <c r="BB29" s="172" t="e">
        <f>IF(#REF!=Data!$QK$2,Data!$QL$1,IF(#REF!=Data!$QK$3,Data!$QM$1,IF(#REF!=Data!$QK$4,Data!$QN$1,IF(#REF!=Data!$QK$5,Data!$QO$1,IF(#REF!=Data!$QK$6,Data!$QP$1,IF(#REF!=Data!$QK$7,Data!$QQ$1,IF(#REF!=Data!$QK$8,Data!$QR$1,IF(#REF!=Data!$QK$9,Data!$QS$1,IF(#REF!=Data!$QK$10,Data!$QT$1,IF(#REF!=Data!$QK$11,Data!$QU$1))))))))))</f>
        <v>#REF!</v>
      </c>
      <c r="BC29" s="33" t="e">
        <f>IF(#REF!=Data!$QK$2,Data!$QL$17,IF(#REF!=Data!$QK$3,Data!$QM$17,IF(#REF!=Data!$QK$4,Data!$QN$17,IF(#REF!=Data!$QK$5,Data!$QO$17,IF(#REF!=Data!$QK$6,Data!$QP$17,IF(#REF!=Data!$QK$7,Data!$QQ$17,IF(#REF!=Data!$QK$8,Data!$QR$17,IF(#REF!=Data!$QK$9,Data!$QS$17,IF(#REF!=Data!$QK$10,Data!$QT$17,IF(#REF!=Data!$QK$11,Data!$QU$17))))))))))</f>
        <v>#REF!</v>
      </c>
      <c r="BD29" s="33" t="e">
        <f>IF(#REF!=Data!$PU$2,Data!$PW$1,IF(#REF!=Data!$PU$3,Data!$PW$1,IF(#REF!=Data!$PU$4,Data!$PV$1,IF(#REF!=Data!$PU$5,Data!$PV$1,))))</f>
        <v>#REF!</v>
      </c>
      <c r="BE29" s="33" t="e">
        <f>MATCH('Panel Glide Blinds'!D29,Data!$AAK$2:$AAK$15)</f>
        <v>#N/A</v>
      </c>
      <c r="BF29" s="33" t="e">
        <f>MATCH(O29,Data!$AAL$1:$AAM$1)</f>
        <v>#N/A</v>
      </c>
      <c r="BG29" s="33" t="e">
        <f>INDEX(Data!$AAL$2:$AAM$15,BE29,BF29)</f>
        <v>#N/A</v>
      </c>
      <c r="BH29" s="33" t="b">
        <f>IF(O29=Data!$ABF$1,Data!$ABD$1,IF(O29=Data!$ABF$2,Data!$ABE$1))</f>
        <v>0</v>
      </c>
      <c r="BI29" s="33" t="e">
        <f>VLOOKUP(H29,Data!$ABL$2:$ABM$8,2,FALSE)</f>
        <v>#N/A</v>
      </c>
      <c r="BJ29" s="172" t="e">
        <f>VLOOKUP(H29,Data!$ABW$2:$ABX$9,2,FALSE)</f>
        <v>#N/A</v>
      </c>
      <c r="BK29" s="172" t="e">
        <f>VLOOKUP(H29,Data!$ABW$2:$ABY$8,3,FALSE)</f>
        <v>#N/A</v>
      </c>
      <c r="BL29" s="172" t="str">
        <f t="shared" si="0"/>
        <v/>
      </c>
      <c r="BM29" s="172" t="str">
        <f t="shared" si="1"/>
        <v/>
      </c>
      <c r="BN29" s="172" t="str">
        <f t="shared" si="4"/>
        <v/>
      </c>
      <c r="BO29" s="33" t="e">
        <f t="shared" si="5"/>
        <v>#DIV/0!</v>
      </c>
      <c r="BP29" s="33" t="e">
        <f t="shared" si="6"/>
        <v>#DIV/0!</v>
      </c>
      <c r="BQ29" s="33" t="e">
        <f t="shared" si="7"/>
        <v>#DIV/0!</v>
      </c>
      <c r="BR29" s="33" t="str">
        <f t="shared" si="8"/>
        <v/>
      </c>
    </row>
    <row r="30" spans="1:70" ht="30" customHeight="1" thickTop="1" thickBot="1">
      <c r="A30" s="52">
        <v>23</v>
      </c>
      <c r="B30" s="13"/>
      <c r="C30" s="13"/>
      <c r="D30" s="13"/>
      <c r="E30" s="15"/>
      <c r="F30" s="14"/>
      <c r="G30" s="14"/>
      <c r="H30" s="14"/>
      <c r="I30" s="13"/>
      <c r="J30" s="14"/>
      <c r="K30" s="14"/>
      <c r="L30" s="525"/>
      <c r="M30" s="526"/>
      <c r="N30" s="15"/>
      <c r="O30" s="15"/>
      <c r="P30" s="15"/>
      <c r="Q30" s="13"/>
      <c r="R30" s="13"/>
      <c r="S30" s="13"/>
      <c r="T30" s="689"/>
      <c r="U30" s="690"/>
      <c r="V30" s="229"/>
      <c r="W30" s="230"/>
      <c r="X30" s="269" t="e">
        <f t="shared" si="2"/>
        <v>#N/A</v>
      </c>
      <c r="Y30" s="269" t="e">
        <f>VLOOKUP(Q30,Data!$QH$2:$QI$4,2,FALSE)</f>
        <v>#N/A</v>
      </c>
      <c r="AA30" s="269" t="e">
        <f t="shared" si="3"/>
        <v>#N/A</v>
      </c>
      <c r="AD30" s="172" t="e">
        <f>IF(#REF!=Data!$KK$2,Data!$KM$1,IF(#REF!=Data!$KK$3,Data!$KN$1,IF(#REF!=Data!$KK$4,Data!$KP$1,IF(#REF!=Data!$KK$5,Data!$KQ$1))))</f>
        <v>#REF!</v>
      </c>
      <c r="AE30" s="33" t="str">
        <f>IF(D30=Data!$W$10,Data!$QJ$1,Data!$QK$1)</f>
        <v>RollerControl</v>
      </c>
      <c r="AH30" s="33" t="b">
        <f>IF(Q30=Data!$PX$2,Data!$PZ$1,IF(Q30=Data!$PX$3,Data!$PY$1,IF(Q30=Data!$PX$4,Data!$QA$1)))</f>
        <v>0</v>
      </c>
      <c r="AJ30" s="33" t="b">
        <f>IF(Q30=Data!$PX$3,Data!$QB$1,IF(Q30=Data!$PX$2,Data!$QC$1,IF(Q30=Data!$PX$4,Data!$QD$1)))</f>
        <v>0</v>
      </c>
      <c r="AL30" s="33" t="str">
        <f>IF(D30=Data!$W$3,Data!$QF$1,IF(D30=Data!$W$4,Data!$QF$1,IF(D30=Data!$W$5,Data!$QF$1,IF(D30=Data!$W$6,Data!$QF$1,IF(D30=Data!$W$7,Data!$QF$1,IF(D30=Data!$W$8,Data!$QF$1,IF(D30=Data!$W$9,Data!$QF$1,IF(D30=Data!$W$10,Data!$QE$1,IF(D30=Data!$W$11,Data!$QF$1,IF(D30=Data!$W$12,Data!$QF$1,IF(D30=Data!$W$13,Data!$QF$1,IF(D30=Data!$W$14,Data!$QF$1,IF(D30=Data!$W$15,Data!$QF$1,IF(D30=Data!$W$16,Data!$QF$1))))))))))))))</f>
        <v>RollerBracketType2</v>
      </c>
      <c r="AV30" s="40" t="e">
        <f>IF(AND(G30&lt;2130, OR(#REF!&lt;2100)),Data!$KS$1,Data!$KT$1)</f>
        <v>#REF!</v>
      </c>
      <c r="AW30" s="172" t="e">
        <f>MATCH(#REF!,Data!$LA$1:$LD$1,0)</f>
        <v>#REF!</v>
      </c>
      <c r="AX30" s="172" t="e">
        <f>MATCH('Panel Glide Blinds'!AV30,Data!$KZ$2:$KZ$3,0)</f>
        <v>#REF!</v>
      </c>
      <c r="AY30" s="172" t="e">
        <f>INDEX(Data!$LA$2:$LD$3,'Panel Glide Blinds'!AX30,'Panel Glide Blinds'!AW30)</f>
        <v>#REF!</v>
      </c>
      <c r="BB30" s="172" t="e">
        <f>IF(#REF!=Data!$QK$2,Data!$QL$1,IF(#REF!=Data!$QK$3,Data!$QM$1,IF(#REF!=Data!$QK$4,Data!$QN$1,IF(#REF!=Data!$QK$5,Data!$QO$1,IF(#REF!=Data!$QK$6,Data!$QP$1,IF(#REF!=Data!$QK$7,Data!$QQ$1,IF(#REF!=Data!$QK$8,Data!$QR$1,IF(#REF!=Data!$QK$9,Data!$QS$1,IF(#REF!=Data!$QK$10,Data!$QT$1,IF(#REF!=Data!$QK$11,Data!$QU$1))))))))))</f>
        <v>#REF!</v>
      </c>
      <c r="BC30" s="33" t="e">
        <f>IF(#REF!=Data!$QK$2,Data!$QL$17,IF(#REF!=Data!$QK$3,Data!$QM$17,IF(#REF!=Data!$QK$4,Data!$QN$17,IF(#REF!=Data!$QK$5,Data!$QO$17,IF(#REF!=Data!$QK$6,Data!$QP$17,IF(#REF!=Data!$QK$7,Data!$QQ$17,IF(#REF!=Data!$QK$8,Data!$QR$17,IF(#REF!=Data!$QK$9,Data!$QS$17,IF(#REF!=Data!$QK$10,Data!$QT$17,IF(#REF!=Data!$QK$11,Data!$QU$17))))))))))</f>
        <v>#REF!</v>
      </c>
      <c r="BD30" s="33" t="e">
        <f>IF(#REF!=Data!$PU$2,Data!$PW$1,IF(#REF!=Data!$PU$3,Data!$PW$1,IF(#REF!=Data!$PU$4,Data!$PV$1,IF(#REF!=Data!$PU$5,Data!$PV$1,))))</f>
        <v>#REF!</v>
      </c>
      <c r="BE30" s="33" t="e">
        <f>MATCH('Panel Glide Blinds'!D30,Data!$AAK$2:$AAK$15)</f>
        <v>#N/A</v>
      </c>
      <c r="BF30" s="33" t="e">
        <f>MATCH(O30,Data!$AAL$1:$AAM$1)</f>
        <v>#N/A</v>
      </c>
      <c r="BG30" s="33" t="e">
        <f>INDEX(Data!$AAL$2:$AAM$15,BE30,BF30)</f>
        <v>#N/A</v>
      </c>
      <c r="BH30" s="33" t="b">
        <f>IF(O30=Data!$ABF$1,Data!$ABD$1,IF(O30=Data!$ABF$2,Data!$ABE$1))</f>
        <v>0</v>
      </c>
      <c r="BI30" s="33" t="e">
        <f>VLOOKUP(H30,Data!$ABL$2:$ABM$8,2,FALSE)</f>
        <v>#N/A</v>
      </c>
      <c r="BJ30" s="172" t="e">
        <f>VLOOKUP(H30,Data!$ABW$2:$ABX$9,2,FALSE)</f>
        <v>#N/A</v>
      </c>
      <c r="BK30" s="172" t="e">
        <f>VLOOKUP(H30,Data!$ABW$2:$ABY$8,3,FALSE)</f>
        <v>#N/A</v>
      </c>
      <c r="BL30" s="172" t="str">
        <f t="shared" si="0"/>
        <v/>
      </c>
      <c r="BM30" s="172" t="str">
        <f t="shared" si="1"/>
        <v/>
      </c>
      <c r="BN30" s="172" t="str">
        <f t="shared" si="4"/>
        <v/>
      </c>
      <c r="BO30" s="33" t="e">
        <f t="shared" si="5"/>
        <v>#DIV/0!</v>
      </c>
      <c r="BP30" s="33" t="e">
        <f t="shared" si="6"/>
        <v>#DIV/0!</v>
      </c>
      <c r="BQ30" s="33" t="e">
        <f t="shared" si="7"/>
        <v>#DIV/0!</v>
      </c>
      <c r="BR30" s="33" t="str">
        <f t="shared" si="8"/>
        <v/>
      </c>
    </row>
    <row r="31" spans="1:70" ht="30" customHeight="1" thickTop="1" thickBot="1">
      <c r="A31" s="52">
        <v>24</v>
      </c>
      <c r="B31" s="13"/>
      <c r="C31" s="13"/>
      <c r="D31" s="19"/>
      <c r="E31" s="15"/>
      <c r="F31" s="14"/>
      <c r="G31" s="14"/>
      <c r="H31" s="14"/>
      <c r="I31" s="13"/>
      <c r="J31" s="14"/>
      <c r="K31" s="10"/>
      <c r="L31" s="587"/>
      <c r="M31" s="588"/>
      <c r="N31" s="18"/>
      <c r="O31" s="18"/>
      <c r="P31" s="15"/>
      <c r="Q31" s="13"/>
      <c r="R31" s="13"/>
      <c r="S31" s="13"/>
      <c r="T31" s="689"/>
      <c r="U31" s="690"/>
      <c r="V31" s="229"/>
      <c r="W31" s="230"/>
      <c r="X31" s="269" t="e">
        <f t="shared" si="2"/>
        <v>#N/A</v>
      </c>
      <c r="Y31" s="269" t="e">
        <f>VLOOKUP(Q31,Data!$QH$2:$QI$4,2,FALSE)</f>
        <v>#N/A</v>
      </c>
      <c r="AA31" s="269" t="e">
        <f t="shared" si="3"/>
        <v>#N/A</v>
      </c>
      <c r="AD31" s="172" t="e">
        <f>IF(#REF!=Data!$KK$2,Data!$KM$1,IF(#REF!=Data!$KK$3,Data!$KN$1,IF(#REF!=Data!$KK$4,Data!$KP$1,IF(#REF!=Data!$KK$5,Data!$KQ$1))))</f>
        <v>#REF!</v>
      </c>
      <c r="AE31" s="33" t="str">
        <f>IF(D31=Data!$W$10,Data!$QJ$1,Data!$QK$1)</f>
        <v>RollerControl</v>
      </c>
      <c r="AH31" s="33" t="b">
        <f>IF(Q31=Data!$PX$2,Data!$PZ$1,IF(Q31=Data!$PX$3,Data!$PY$1,IF(Q31=Data!$PX$4,Data!$QA$1)))</f>
        <v>0</v>
      </c>
      <c r="AJ31" s="33" t="b">
        <f>IF(Q31=Data!$PX$3,Data!$QB$1,IF(Q31=Data!$PX$2,Data!$QC$1,IF(Q31=Data!$PX$4,Data!$QD$1)))</f>
        <v>0</v>
      </c>
      <c r="AL31" s="33" t="str">
        <f>IF(D31=Data!$W$3,Data!$QF$1,IF(D31=Data!$W$4,Data!$QF$1,IF(D31=Data!$W$5,Data!$QF$1,IF(D31=Data!$W$6,Data!$QF$1,IF(D31=Data!$W$7,Data!$QF$1,IF(D31=Data!$W$8,Data!$QF$1,IF(D31=Data!$W$9,Data!$QF$1,IF(D31=Data!$W$10,Data!$QE$1,IF(D31=Data!$W$11,Data!$QF$1,IF(D31=Data!$W$12,Data!$QF$1,IF(D31=Data!$W$13,Data!$QF$1,IF(D31=Data!$W$14,Data!$QF$1,IF(D31=Data!$W$15,Data!$QF$1,IF(D31=Data!$W$16,Data!$QF$1))))))))))))))</f>
        <v>RollerBracketType2</v>
      </c>
      <c r="AV31" s="40" t="e">
        <f>IF(AND(G31&lt;2130, OR(#REF!&lt;2100)),Data!$KS$1,Data!$KT$1)</f>
        <v>#REF!</v>
      </c>
      <c r="AW31" s="172" t="e">
        <f>MATCH(#REF!,Data!$LA$1:$LD$1,0)</f>
        <v>#REF!</v>
      </c>
      <c r="AX31" s="172" t="e">
        <f>MATCH('Panel Glide Blinds'!AV31,Data!$KZ$2:$KZ$3,0)</f>
        <v>#REF!</v>
      </c>
      <c r="AY31" s="172" t="e">
        <f>INDEX(Data!$LA$2:$LD$3,'Panel Glide Blinds'!AX31,'Panel Glide Blinds'!AW31)</f>
        <v>#REF!</v>
      </c>
      <c r="BB31" s="172" t="e">
        <f>IF(#REF!=Data!$QK$2,Data!$QL$1,IF(#REF!=Data!$QK$3,Data!$QM$1,IF(#REF!=Data!$QK$4,Data!$QN$1,IF(#REF!=Data!$QK$5,Data!$QO$1,IF(#REF!=Data!$QK$6,Data!$QP$1,IF(#REF!=Data!$QK$7,Data!$QQ$1,IF(#REF!=Data!$QK$8,Data!$QR$1,IF(#REF!=Data!$QK$9,Data!$QS$1,IF(#REF!=Data!$QK$10,Data!$QT$1,IF(#REF!=Data!$QK$11,Data!$QU$1))))))))))</f>
        <v>#REF!</v>
      </c>
      <c r="BC31" s="33" t="e">
        <f>IF(#REF!=Data!$QK$2,Data!$QL$17,IF(#REF!=Data!$QK$3,Data!$QM$17,IF(#REF!=Data!$QK$4,Data!$QN$17,IF(#REF!=Data!$QK$5,Data!$QO$17,IF(#REF!=Data!$QK$6,Data!$QP$17,IF(#REF!=Data!$QK$7,Data!$QQ$17,IF(#REF!=Data!$QK$8,Data!$QR$17,IF(#REF!=Data!$QK$9,Data!$QS$17,IF(#REF!=Data!$QK$10,Data!$QT$17,IF(#REF!=Data!$QK$11,Data!$QU$17))))))))))</f>
        <v>#REF!</v>
      </c>
      <c r="BD31" s="33" t="e">
        <f>IF(#REF!=Data!$PU$2,Data!$PW$1,IF(#REF!=Data!$PU$3,Data!$PW$1,IF(#REF!=Data!$PU$4,Data!$PV$1,IF(#REF!=Data!$PU$5,Data!$PV$1,))))</f>
        <v>#REF!</v>
      </c>
      <c r="BE31" s="33" t="e">
        <f>MATCH('Panel Glide Blinds'!D31,Data!$AAK$2:$AAK$15)</f>
        <v>#N/A</v>
      </c>
      <c r="BF31" s="33" t="e">
        <f>MATCH(O31,Data!$AAL$1:$AAM$1)</f>
        <v>#N/A</v>
      </c>
      <c r="BG31" s="33" t="e">
        <f>INDEX(Data!$AAL$2:$AAM$15,BE31,BF31)</f>
        <v>#N/A</v>
      </c>
      <c r="BH31" s="33" t="b">
        <f>IF(O31=Data!$ABF$1,Data!$ABD$1,IF(O31=Data!$ABF$2,Data!$ABE$1))</f>
        <v>0</v>
      </c>
      <c r="BI31" s="33" t="e">
        <f>VLOOKUP(H31,Data!$ABL$2:$ABM$8,2,FALSE)</f>
        <v>#N/A</v>
      </c>
      <c r="BJ31" s="172" t="e">
        <f>VLOOKUP(H31,Data!$ABW$2:$ABX$9,2,FALSE)</f>
        <v>#N/A</v>
      </c>
      <c r="BK31" s="172" t="e">
        <f>VLOOKUP(H31,Data!$ABW$2:$ABY$8,3,FALSE)</f>
        <v>#N/A</v>
      </c>
      <c r="BL31" s="172" t="str">
        <f t="shared" si="0"/>
        <v/>
      </c>
      <c r="BM31" s="172" t="str">
        <f t="shared" si="1"/>
        <v/>
      </c>
      <c r="BN31" s="172" t="str">
        <f t="shared" si="4"/>
        <v/>
      </c>
      <c r="BO31" s="33" t="e">
        <f t="shared" si="5"/>
        <v>#DIV/0!</v>
      </c>
      <c r="BP31" s="33" t="e">
        <f t="shared" si="6"/>
        <v>#DIV/0!</v>
      </c>
      <c r="BQ31" s="33" t="e">
        <f t="shared" si="7"/>
        <v>#DIV/0!</v>
      </c>
      <c r="BR31" s="33" t="str">
        <f t="shared" si="8"/>
        <v/>
      </c>
    </row>
    <row r="32" spans="1:70" ht="30" customHeight="1" thickTop="1" thickBot="1">
      <c r="A32" s="52">
        <v>25</v>
      </c>
      <c r="B32" s="13"/>
      <c r="C32" s="13"/>
      <c r="D32" s="19"/>
      <c r="E32" s="15"/>
      <c r="F32" s="14"/>
      <c r="G32" s="14"/>
      <c r="H32" s="14"/>
      <c r="I32" s="13"/>
      <c r="J32" s="14"/>
      <c r="K32" s="14"/>
      <c r="L32" s="525"/>
      <c r="M32" s="526"/>
      <c r="N32" s="15"/>
      <c r="O32" s="15"/>
      <c r="P32" s="15"/>
      <c r="Q32" s="13"/>
      <c r="R32" s="13"/>
      <c r="S32" s="13"/>
      <c r="T32" s="689"/>
      <c r="U32" s="690"/>
      <c r="V32" s="229"/>
      <c r="W32" s="230"/>
      <c r="X32" s="269" t="e">
        <f t="shared" si="2"/>
        <v>#N/A</v>
      </c>
      <c r="Y32" s="269" t="e">
        <f>VLOOKUP(Q32,Data!$QH$2:$QI$4,2,FALSE)</f>
        <v>#N/A</v>
      </c>
      <c r="AA32" s="269" t="e">
        <f t="shared" si="3"/>
        <v>#N/A</v>
      </c>
      <c r="AD32" s="172" t="e">
        <f>IF(#REF!=Data!$KK$2,Data!$KM$1,IF(#REF!=Data!$KK$3,Data!$KN$1,IF(#REF!=Data!$KK$4,Data!$KP$1,IF(#REF!=Data!$KK$5,Data!$KQ$1))))</f>
        <v>#REF!</v>
      </c>
      <c r="AE32" s="33" t="str">
        <f>IF(D32=Data!$W$10,Data!$QJ$1,Data!$QK$1)</f>
        <v>RollerControl</v>
      </c>
      <c r="AH32" s="33" t="b">
        <f>IF(Q32=Data!$PX$2,Data!$PZ$1,IF(Q32=Data!$PX$3,Data!$PY$1,IF(Q32=Data!$PX$4,Data!$QA$1)))</f>
        <v>0</v>
      </c>
      <c r="AJ32" s="33" t="b">
        <f>IF(Q32=Data!$PX$3,Data!$QB$1,IF(Q32=Data!$PX$2,Data!$QC$1,IF(Q32=Data!$PX$4,Data!$QD$1)))</f>
        <v>0</v>
      </c>
      <c r="AL32" s="33" t="str">
        <f>IF(D32=Data!$W$3,Data!$QF$1,IF(D32=Data!$W$4,Data!$QF$1,IF(D32=Data!$W$5,Data!$QF$1,IF(D32=Data!$W$6,Data!$QF$1,IF(D32=Data!$W$7,Data!$QF$1,IF(D32=Data!$W$8,Data!$QF$1,IF(D32=Data!$W$9,Data!$QF$1,IF(D32=Data!$W$10,Data!$QE$1,IF(D32=Data!$W$11,Data!$QF$1,IF(D32=Data!$W$12,Data!$QF$1,IF(D32=Data!$W$13,Data!$QF$1,IF(D32=Data!$W$14,Data!$QF$1,IF(D32=Data!$W$15,Data!$QF$1,IF(D32=Data!$W$16,Data!$QF$1))))))))))))))</f>
        <v>RollerBracketType2</v>
      </c>
      <c r="AV32" s="40" t="e">
        <f>IF(AND(G32&lt;2130, OR(#REF!&lt;2100)),Data!$KS$1,Data!$KT$1)</f>
        <v>#REF!</v>
      </c>
      <c r="AW32" s="172" t="e">
        <f>MATCH(#REF!,Data!$LA$1:$LD$1,0)</f>
        <v>#REF!</v>
      </c>
      <c r="AX32" s="172" t="e">
        <f>MATCH('Panel Glide Blinds'!AV32,Data!$KZ$2:$KZ$3,0)</f>
        <v>#REF!</v>
      </c>
      <c r="AY32" s="172" t="e">
        <f>INDEX(Data!$LA$2:$LD$3,'Panel Glide Blinds'!AX32,'Panel Glide Blinds'!AW32)</f>
        <v>#REF!</v>
      </c>
      <c r="BB32" s="172" t="e">
        <f>IF(#REF!=Data!$QK$2,Data!$QL$1,IF(#REF!=Data!$QK$3,Data!$QM$1,IF(#REF!=Data!$QK$4,Data!$QN$1,IF(#REF!=Data!$QK$5,Data!$QO$1,IF(#REF!=Data!$QK$6,Data!$QP$1,IF(#REF!=Data!$QK$7,Data!$QQ$1,IF(#REF!=Data!$QK$8,Data!$QR$1,IF(#REF!=Data!$QK$9,Data!$QS$1,IF(#REF!=Data!$QK$10,Data!$QT$1,IF(#REF!=Data!$QK$11,Data!$QU$1))))))))))</f>
        <v>#REF!</v>
      </c>
      <c r="BC32" s="33" t="e">
        <f>IF(#REF!=Data!$QK$2,Data!$QL$17,IF(#REF!=Data!$QK$3,Data!$QM$17,IF(#REF!=Data!$QK$4,Data!$QN$17,IF(#REF!=Data!$QK$5,Data!$QO$17,IF(#REF!=Data!$QK$6,Data!$QP$17,IF(#REF!=Data!$QK$7,Data!$QQ$17,IF(#REF!=Data!$QK$8,Data!$QR$17,IF(#REF!=Data!$QK$9,Data!$QS$17,IF(#REF!=Data!$QK$10,Data!$QT$17,IF(#REF!=Data!$QK$11,Data!$QU$17))))))))))</f>
        <v>#REF!</v>
      </c>
      <c r="BD32" s="33" t="e">
        <f>IF(#REF!=Data!$PU$2,Data!$PW$1,IF(#REF!=Data!$PU$3,Data!$PW$1,IF(#REF!=Data!$PU$4,Data!$PV$1,IF(#REF!=Data!$PU$5,Data!$PV$1,))))</f>
        <v>#REF!</v>
      </c>
      <c r="BE32" s="33" t="e">
        <f>MATCH('Panel Glide Blinds'!D32,Data!$AAK$2:$AAK$15)</f>
        <v>#N/A</v>
      </c>
      <c r="BF32" s="33" t="e">
        <f>MATCH(O32,Data!$AAL$1:$AAM$1)</f>
        <v>#N/A</v>
      </c>
      <c r="BG32" s="33" t="e">
        <f>INDEX(Data!$AAL$2:$AAM$15,BE32,BF32)</f>
        <v>#N/A</v>
      </c>
      <c r="BH32" s="33" t="b">
        <f>IF(O32=Data!$ABF$1,Data!$ABD$1,IF(O32=Data!$ABF$2,Data!$ABE$1))</f>
        <v>0</v>
      </c>
      <c r="BI32" s="33" t="e">
        <f>VLOOKUP(H32,Data!$ABL$2:$ABM$8,2,FALSE)</f>
        <v>#N/A</v>
      </c>
      <c r="BJ32" s="172" t="e">
        <f>VLOOKUP(H32,Data!$ABW$2:$ABX$9,2,FALSE)</f>
        <v>#N/A</v>
      </c>
      <c r="BK32" s="172" t="e">
        <f>VLOOKUP(H32,Data!$ABW$2:$ABY$8,3,FALSE)</f>
        <v>#N/A</v>
      </c>
      <c r="BL32" s="172" t="str">
        <f t="shared" si="0"/>
        <v/>
      </c>
      <c r="BM32" s="172" t="str">
        <f t="shared" si="1"/>
        <v/>
      </c>
      <c r="BN32" s="172" t="str">
        <f t="shared" si="4"/>
        <v/>
      </c>
      <c r="BO32" s="33" t="e">
        <f t="shared" si="5"/>
        <v>#DIV/0!</v>
      </c>
      <c r="BP32" s="33" t="e">
        <f t="shared" si="6"/>
        <v>#DIV/0!</v>
      </c>
      <c r="BQ32" s="33" t="e">
        <f t="shared" si="7"/>
        <v>#DIV/0!</v>
      </c>
      <c r="BR32" s="33" t="str">
        <f t="shared" si="8"/>
        <v/>
      </c>
    </row>
    <row r="33" spans="1:70" ht="30" customHeight="1" thickTop="1" thickBot="1">
      <c r="A33" s="52">
        <v>26</v>
      </c>
      <c r="B33" s="13"/>
      <c r="C33" s="13"/>
      <c r="D33" s="19"/>
      <c r="E33" s="15"/>
      <c r="F33" s="14"/>
      <c r="G33" s="14"/>
      <c r="H33" s="14"/>
      <c r="I33" s="13"/>
      <c r="J33" s="14"/>
      <c r="K33" s="14"/>
      <c r="L33" s="525"/>
      <c r="M33" s="526"/>
      <c r="N33" s="15"/>
      <c r="O33" s="15"/>
      <c r="P33" s="15"/>
      <c r="Q33" s="13"/>
      <c r="R33" s="13"/>
      <c r="S33" s="13"/>
      <c r="T33" s="689"/>
      <c r="U33" s="690"/>
      <c r="V33" s="229"/>
      <c r="W33" s="230"/>
      <c r="X33" s="269" t="e">
        <f t="shared" si="2"/>
        <v>#N/A</v>
      </c>
      <c r="Y33" s="269" t="e">
        <f>VLOOKUP(Q33,Data!$QH$2:$QI$4,2,FALSE)</f>
        <v>#N/A</v>
      </c>
      <c r="AA33" s="269" t="e">
        <f t="shared" si="3"/>
        <v>#N/A</v>
      </c>
      <c r="AD33" s="172" t="e">
        <f>IF(#REF!=Data!$KK$2,Data!$KM$1,IF(#REF!=Data!$KK$3,Data!$KN$1,IF(#REF!=Data!$KK$4,Data!$KP$1,IF(#REF!=Data!$KK$5,Data!$KQ$1))))</f>
        <v>#REF!</v>
      </c>
      <c r="AE33" s="33" t="str">
        <f>IF(D33=Data!$W$10,Data!$QJ$1,Data!$QK$1)</f>
        <v>RollerControl</v>
      </c>
      <c r="AH33" s="33" t="b">
        <f>IF(Q33=Data!$PX$2,Data!$PZ$1,IF(Q33=Data!$PX$3,Data!$PY$1,IF(Q33=Data!$PX$4,Data!$QA$1)))</f>
        <v>0</v>
      </c>
      <c r="AJ33" s="33" t="b">
        <f>IF(Q33=Data!$PX$3,Data!$QB$1,IF(Q33=Data!$PX$2,Data!$QC$1,IF(Q33=Data!$PX$4,Data!$QD$1)))</f>
        <v>0</v>
      </c>
      <c r="AL33" s="33" t="str">
        <f>IF(D33=Data!$W$3,Data!$QF$1,IF(D33=Data!$W$4,Data!$QF$1,IF(D33=Data!$W$5,Data!$QF$1,IF(D33=Data!$W$6,Data!$QF$1,IF(D33=Data!$W$7,Data!$QF$1,IF(D33=Data!$W$8,Data!$QF$1,IF(D33=Data!$W$9,Data!$QF$1,IF(D33=Data!$W$10,Data!$QE$1,IF(D33=Data!$W$11,Data!$QF$1,IF(D33=Data!$W$12,Data!$QF$1,IF(D33=Data!$W$13,Data!$QF$1,IF(D33=Data!$W$14,Data!$QF$1,IF(D33=Data!$W$15,Data!$QF$1,IF(D33=Data!$W$16,Data!$QF$1))))))))))))))</f>
        <v>RollerBracketType2</v>
      </c>
      <c r="AV33" s="40" t="e">
        <f>IF(AND(G33&lt;2130, OR(#REF!&lt;2100)),Data!$KS$1,Data!$KT$1)</f>
        <v>#REF!</v>
      </c>
      <c r="AW33" s="172" t="e">
        <f>MATCH(#REF!,Data!$LA$1:$LD$1,0)</f>
        <v>#REF!</v>
      </c>
      <c r="AX33" s="172" t="e">
        <f>MATCH('Panel Glide Blinds'!AV33,Data!$KZ$2:$KZ$3,0)</f>
        <v>#REF!</v>
      </c>
      <c r="AY33" s="172" t="e">
        <f>INDEX(Data!$LA$2:$LD$3,'Panel Glide Blinds'!AX33,'Panel Glide Blinds'!AW33)</f>
        <v>#REF!</v>
      </c>
      <c r="BB33" s="172" t="e">
        <f>IF(#REF!=Data!$QK$2,Data!$QL$1,IF(#REF!=Data!$QK$3,Data!$QM$1,IF(#REF!=Data!$QK$4,Data!$QN$1,IF(#REF!=Data!$QK$5,Data!$QO$1,IF(#REF!=Data!$QK$6,Data!$QP$1,IF(#REF!=Data!$QK$7,Data!$QQ$1,IF(#REF!=Data!$QK$8,Data!$QR$1,IF(#REF!=Data!$QK$9,Data!$QS$1,IF(#REF!=Data!$QK$10,Data!$QT$1,IF(#REF!=Data!$QK$11,Data!$QU$1))))))))))</f>
        <v>#REF!</v>
      </c>
      <c r="BC33" s="33" t="e">
        <f>IF(#REF!=Data!$QK$2,Data!$QL$17,IF(#REF!=Data!$QK$3,Data!$QM$17,IF(#REF!=Data!$QK$4,Data!$QN$17,IF(#REF!=Data!$QK$5,Data!$QO$17,IF(#REF!=Data!$QK$6,Data!$QP$17,IF(#REF!=Data!$QK$7,Data!$QQ$17,IF(#REF!=Data!$QK$8,Data!$QR$17,IF(#REF!=Data!$QK$9,Data!$QS$17,IF(#REF!=Data!$QK$10,Data!$QT$17,IF(#REF!=Data!$QK$11,Data!$QU$17))))))))))</f>
        <v>#REF!</v>
      </c>
      <c r="BD33" s="33" t="e">
        <f>IF(#REF!=Data!$PU$2,Data!$PW$1,IF(#REF!=Data!$PU$3,Data!$PW$1,IF(#REF!=Data!$PU$4,Data!$PV$1,IF(#REF!=Data!$PU$5,Data!$PV$1,))))</f>
        <v>#REF!</v>
      </c>
      <c r="BE33" s="33" t="e">
        <f>MATCH('Panel Glide Blinds'!D33,Data!$AAK$2:$AAK$15)</f>
        <v>#N/A</v>
      </c>
      <c r="BF33" s="33" t="e">
        <f>MATCH(O33,Data!$AAL$1:$AAM$1)</f>
        <v>#N/A</v>
      </c>
      <c r="BG33" s="33" t="e">
        <f>INDEX(Data!$AAL$2:$AAM$15,BE33,BF33)</f>
        <v>#N/A</v>
      </c>
      <c r="BH33" s="33" t="b">
        <f>IF(O33=Data!$ABF$1,Data!$ABD$1,IF(O33=Data!$ABF$2,Data!$ABE$1))</f>
        <v>0</v>
      </c>
      <c r="BI33" s="33" t="e">
        <f>VLOOKUP(H33,Data!$ABL$2:$ABM$8,2,FALSE)</f>
        <v>#N/A</v>
      </c>
      <c r="BJ33" s="172" t="e">
        <f>VLOOKUP(H33,Data!$ABW$2:$ABX$9,2,FALSE)</f>
        <v>#N/A</v>
      </c>
      <c r="BK33" s="172" t="e">
        <f>VLOOKUP(H33,Data!$ABW$2:$ABY$8,3,FALSE)</f>
        <v>#N/A</v>
      </c>
      <c r="BL33" s="172" t="str">
        <f t="shared" si="0"/>
        <v/>
      </c>
      <c r="BM33" s="172" t="str">
        <f t="shared" si="1"/>
        <v/>
      </c>
      <c r="BN33" s="172" t="str">
        <f t="shared" si="4"/>
        <v/>
      </c>
      <c r="BO33" s="33" t="e">
        <f t="shared" si="5"/>
        <v>#DIV/0!</v>
      </c>
      <c r="BP33" s="33" t="e">
        <f t="shared" si="6"/>
        <v>#DIV/0!</v>
      </c>
      <c r="BQ33" s="33" t="e">
        <f t="shared" si="7"/>
        <v>#DIV/0!</v>
      </c>
      <c r="BR33" s="33" t="str">
        <f t="shared" si="8"/>
        <v/>
      </c>
    </row>
    <row r="34" spans="1:70" ht="30" customHeight="1" thickTop="1" thickBot="1">
      <c r="A34" s="52">
        <v>27</v>
      </c>
      <c r="B34" s="13"/>
      <c r="C34" s="13"/>
      <c r="D34" s="19"/>
      <c r="E34" s="15"/>
      <c r="F34" s="14"/>
      <c r="G34" s="14"/>
      <c r="H34" s="14"/>
      <c r="I34" s="13"/>
      <c r="J34" s="14"/>
      <c r="K34" s="14"/>
      <c r="L34" s="525"/>
      <c r="M34" s="526"/>
      <c r="N34" s="15"/>
      <c r="O34" s="15"/>
      <c r="P34" s="15"/>
      <c r="Q34" s="13"/>
      <c r="R34" s="13"/>
      <c r="S34" s="13"/>
      <c r="T34" s="689"/>
      <c r="U34" s="690"/>
      <c r="V34" s="229"/>
      <c r="W34" s="230"/>
      <c r="X34" s="269" t="e">
        <f t="shared" si="2"/>
        <v>#N/A</v>
      </c>
      <c r="Y34" s="269" t="e">
        <f>VLOOKUP(Q34,Data!$QH$2:$QI$4,2,FALSE)</f>
        <v>#N/A</v>
      </c>
      <c r="AA34" s="269" t="e">
        <f t="shared" si="3"/>
        <v>#N/A</v>
      </c>
      <c r="AD34" s="172" t="e">
        <f>IF(#REF!=Data!$KK$2,Data!$KM$1,IF(#REF!=Data!$KK$3,Data!$KN$1,IF(#REF!=Data!$KK$4,Data!$KP$1,IF(#REF!=Data!$KK$5,Data!$KQ$1))))</f>
        <v>#REF!</v>
      </c>
      <c r="AE34" s="33" t="str">
        <f>IF(D34=Data!$W$10,Data!$QJ$1,Data!$QK$1)</f>
        <v>RollerControl</v>
      </c>
      <c r="AH34" s="33" t="b">
        <f>IF(Q34=Data!$PX$2,Data!$PZ$1,IF(Q34=Data!$PX$3,Data!$PY$1,IF(Q34=Data!$PX$4,Data!$QA$1)))</f>
        <v>0</v>
      </c>
      <c r="AJ34" s="33" t="b">
        <f>IF(Q34=Data!$PX$3,Data!$QB$1,IF(Q34=Data!$PX$2,Data!$QC$1,IF(Q34=Data!$PX$4,Data!$QD$1)))</f>
        <v>0</v>
      </c>
      <c r="AL34" s="33" t="str">
        <f>IF(D34=Data!$W$3,Data!$QF$1,IF(D34=Data!$W$4,Data!$QF$1,IF(D34=Data!$W$5,Data!$QF$1,IF(D34=Data!$W$6,Data!$QF$1,IF(D34=Data!$W$7,Data!$QF$1,IF(D34=Data!$W$8,Data!$QF$1,IF(D34=Data!$W$9,Data!$QF$1,IF(D34=Data!$W$10,Data!$QE$1,IF(D34=Data!$W$11,Data!$QF$1,IF(D34=Data!$W$12,Data!$QF$1,IF(D34=Data!$W$13,Data!$QF$1,IF(D34=Data!$W$14,Data!$QF$1,IF(D34=Data!$W$15,Data!$QF$1,IF(D34=Data!$W$16,Data!$QF$1))))))))))))))</f>
        <v>RollerBracketType2</v>
      </c>
      <c r="AV34" s="40" t="e">
        <f>IF(AND(G34&lt;2130, OR(#REF!&lt;2100)),Data!$KS$1,Data!$KT$1)</f>
        <v>#REF!</v>
      </c>
      <c r="AW34" s="172" t="e">
        <f>MATCH(#REF!,Data!$LA$1:$LD$1,0)</f>
        <v>#REF!</v>
      </c>
      <c r="AX34" s="172" t="e">
        <f>MATCH('Panel Glide Blinds'!AV34,Data!$KZ$2:$KZ$3,0)</f>
        <v>#REF!</v>
      </c>
      <c r="AY34" s="172" t="e">
        <f>INDEX(Data!$LA$2:$LD$3,'Panel Glide Blinds'!AX34,'Panel Glide Blinds'!AW34)</f>
        <v>#REF!</v>
      </c>
      <c r="BB34" s="172" t="e">
        <f>IF(#REF!=Data!$QK$2,Data!$QL$1,IF(#REF!=Data!$QK$3,Data!$QM$1,IF(#REF!=Data!$QK$4,Data!$QN$1,IF(#REF!=Data!$QK$5,Data!$QO$1,IF(#REF!=Data!$QK$6,Data!$QP$1,IF(#REF!=Data!$QK$7,Data!$QQ$1,IF(#REF!=Data!$QK$8,Data!$QR$1,IF(#REF!=Data!$QK$9,Data!$QS$1,IF(#REF!=Data!$QK$10,Data!$QT$1,IF(#REF!=Data!$QK$11,Data!$QU$1))))))))))</f>
        <v>#REF!</v>
      </c>
      <c r="BC34" s="33" t="e">
        <f>IF(#REF!=Data!$QK$2,Data!$QL$17,IF(#REF!=Data!$QK$3,Data!$QM$17,IF(#REF!=Data!$QK$4,Data!$QN$17,IF(#REF!=Data!$QK$5,Data!$QO$17,IF(#REF!=Data!$QK$6,Data!$QP$17,IF(#REF!=Data!$QK$7,Data!$QQ$17,IF(#REF!=Data!$QK$8,Data!$QR$17,IF(#REF!=Data!$QK$9,Data!$QS$17,IF(#REF!=Data!$QK$10,Data!$QT$17,IF(#REF!=Data!$QK$11,Data!$QU$17))))))))))</f>
        <v>#REF!</v>
      </c>
      <c r="BD34" s="33" t="e">
        <f>IF(#REF!=Data!$PU$2,Data!$PW$1,IF(#REF!=Data!$PU$3,Data!$PW$1,IF(#REF!=Data!$PU$4,Data!$PV$1,IF(#REF!=Data!$PU$5,Data!$PV$1,))))</f>
        <v>#REF!</v>
      </c>
      <c r="BE34" s="33" t="e">
        <f>MATCH('Panel Glide Blinds'!D34,Data!$AAK$2:$AAK$15)</f>
        <v>#N/A</v>
      </c>
      <c r="BF34" s="33" t="e">
        <f>MATCH(O34,Data!$AAL$1:$AAM$1)</f>
        <v>#N/A</v>
      </c>
      <c r="BG34" s="33" t="e">
        <f>INDEX(Data!$AAL$2:$AAM$15,BE34,BF34)</f>
        <v>#N/A</v>
      </c>
      <c r="BH34" s="33" t="b">
        <f>IF(O34=Data!$ABF$1,Data!$ABD$1,IF(O34=Data!$ABF$2,Data!$ABE$1))</f>
        <v>0</v>
      </c>
      <c r="BI34" s="33" t="e">
        <f>VLOOKUP(H34,Data!$ABL$2:$ABM$8,2,FALSE)</f>
        <v>#N/A</v>
      </c>
      <c r="BJ34" s="172" t="e">
        <f>VLOOKUP(H34,Data!$ABW$2:$ABX$9,2,FALSE)</f>
        <v>#N/A</v>
      </c>
      <c r="BK34" s="172" t="e">
        <f>VLOOKUP(H34,Data!$ABW$2:$ABY$8,3,FALSE)</f>
        <v>#N/A</v>
      </c>
      <c r="BL34" s="172" t="str">
        <f t="shared" si="0"/>
        <v/>
      </c>
      <c r="BM34" s="172" t="str">
        <f t="shared" si="1"/>
        <v/>
      </c>
      <c r="BN34" s="172" t="str">
        <f t="shared" si="4"/>
        <v/>
      </c>
      <c r="BO34" s="33" t="e">
        <f t="shared" si="5"/>
        <v>#DIV/0!</v>
      </c>
      <c r="BP34" s="33" t="e">
        <f t="shared" si="6"/>
        <v>#DIV/0!</v>
      </c>
      <c r="BQ34" s="33" t="e">
        <f t="shared" si="7"/>
        <v>#DIV/0!</v>
      </c>
      <c r="BR34" s="33" t="str">
        <f t="shared" si="8"/>
        <v/>
      </c>
    </row>
    <row r="35" spans="1:70" ht="30" customHeight="1" thickTop="1" thickBot="1">
      <c r="A35" s="52">
        <v>28</v>
      </c>
      <c r="B35" s="13"/>
      <c r="C35" s="13"/>
      <c r="D35" s="19"/>
      <c r="E35" s="15"/>
      <c r="F35" s="14"/>
      <c r="G35" s="14"/>
      <c r="H35" s="14"/>
      <c r="I35" s="13"/>
      <c r="J35" s="14"/>
      <c r="K35" s="14"/>
      <c r="L35" s="525"/>
      <c r="M35" s="526"/>
      <c r="N35" s="15"/>
      <c r="O35" s="15"/>
      <c r="P35" s="15"/>
      <c r="Q35" s="13"/>
      <c r="R35" s="13"/>
      <c r="S35" s="13"/>
      <c r="T35" s="689"/>
      <c r="U35" s="690"/>
      <c r="V35" s="229"/>
      <c r="W35" s="230"/>
      <c r="X35" s="269" t="e">
        <f t="shared" si="2"/>
        <v>#N/A</v>
      </c>
      <c r="Y35" s="269" t="e">
        <f>VLOOKUP(Q35,Data!$QH$2:$QI$4,2,FALSE)</f>
        <v>#N/A</v>
      </c>
      <c r="AA35" s="269" t="e">
        <f t="shared" si="3"/>
        <v>#N/A</v>
      </c>
      <c r="AD35" s="172" t="e">
        <f>IF(#REF!=Data!$KK$2,Data!$KM$1,IF(#REF!=Data!$KK$3,Data!$KN$1,IF(#REF!=Data!$KK$4,Data!$KP$1,IF(#REF!=Data!$KK$5,Data!$KQ$1))))</f>
        <v>#REF!</v>
      </c>
      <c r="AE35" s="33" t="str">
        <f>IF(D35=Data!$W$10,Data!$QJ$1,Data!$QK$1)</f>
        <v>RollerControl</v>
      </c>
      <c r="AH35" s="33" t="b">
        <f>IF(Q35=Data!$PX$2,Data!$PZ$1,IF(Q35=Data!$PX$3,Data!$PY$1,IF(Q35=Data!$PX$4,Data!$QA$1)))</f>
        <v>0</v>
      </c>
      <c r="AJ35" s="33" t="b">
        <f>IF(Q35=Data!$PX$3,Data!$QB$1,IF(Q35=Data!$PX$2,Data!$QC$1,IF(Q35=Data!$PX$4,Data!$QD$1)))</f>
        <v>0</v>
      </c>
      <c r="AL35" s="33" t="str">
        <f>IF(D35=Data!$W$3,Data!$QF$1,IF(D35=Data!$W$4,Data!$QF$1,IF(D35=Data!$W$5,Data!$QF$1,IF(D35=Data!$W$6,Data!$QF$1,IF(D35=Data!$W$7,Data!$QF$1,IF(D35=Data!$W$8,Data!$QF$1,IF(D35=Data!$W$9,Data!$QF$1,IF(D35=Data!$W$10,Data!$QE$1,IF(D35=Data!$W$11,Data!$QF$1,IF(D35=Data!$W$12,Data!$QF$1,IF(D35=Data!$W$13,Data!$QF$1,IF(D35=Data!$W$14,Data!$QF$1,IF(D35=Data!$W$15,Data!$QF$1,IF(D35=Data!$W$16,Data!$QF$1))))))))))))))</f>
        <v>RollerBracketType2</v>
      </c>
      <c r="AV35" s="40" t="e">
        <f>IF(AND(G35&lt;2130, OR(#REF!&lt;2100)),Data!$KS$1,Data!$KT$1)</f>
        <v>#REF!</v>
      </c>
      <c r="AW35" s="172" t="e">
        <f>MATCH(#REF!,Data!$LA$1:$LD$1,0)</f>
        <v>#REF!</v>
      </c>
      <c r="AX35" s="172" t="e">
        <f>MATCH('Panel Glide Blinds'!AV35,Data!$KZ$2:$KZ$3,0)</f>
        <v>#REF!</v>
      </c>
      <c r="AY35" s="172" t="e">
        <f>INDEX(Data!$LA$2:$LD$3,'Panel Glide Blinds'!AX35,'Panel Glide Blinds'!AW35)</f>
        <v>#REF!</v>
      </c>
      <c r="BB35" s="172" t="e">
        <f>IF(#REF!=Data!$QK$2,Data!$QL$1,IF(#REF!=Data!$QK$3,Data!$QM$1,IF(#REF!=Data!$QK$4,Data!$QN$1,IF(#REF!=Data!$QK$5,Data!$QO$1,IF(#REF!=Data!$QK$6,Data!$QP$1,IF(#REF!=Data!$QK$7,Data!$QQ$1,IF(#REF!=Data!$QK$8,Data!$QR$1,IF(#REF!=Data!$QK$9,Data!$QS$1,IF(#REF!=Data!$QK$10,Data!$QT$1,IF(#REF!=Data!$QK$11,Data!$QU$1))))))))))</f>
        <v>#REF!</v>
      </c>
      <c r="BC35" s="33" t="e">
        <f>IF(#REF!=Data!$QK$2,Data!$QL$17,IF(#REF!=Data!$QK$3,Data!$QM$17,IF(#REF!=Data!$QK$4,Data!$QN$17,IF(#REF!=Data!$QK$5,Data!$QO$17,IF(#REF!=Data!$QK$6,Data!$QP$17,IF(#REF!=Data!$QK$7,Data!$QQ$17,IF(#REF!=Data!$QK$8,Data!$QR$17,IF(#REF!=Data!$QK$9,Data!$QS$17,IF(#REF!=Data!$QK$10,Data!$QT$17,IF(#REF!=Data!$QK$11,Data!$QU$17))))))))))</f>
        <v>#REF!</v>
      </c>
      <c r="BD35" s="33" t="e">
        <f>IF(#REF!=Data!$PU$2,Data!$PW$1,IF(#REF!=Data!$PU$3,Data!$PW$1,IF(#REF!=Data!$PU$4,Data!$PV$1,IF(#REF!=Data!$PU$5,Data!$PV$1,))))</f>
        <v>#REF!</v>
      </c>
      <c r="BE35" s="33" t="e">
        <f>MATCH('Panel Glide Blinds'!D35,Data!$AAK$2:$AAK$15)</f>
        <v>#N/A</v>
      </c>
      <c r="BF35" s="33" t="e">
        <f>MATCH(O35,Data!$AAL$1:$AAM$1)</f>
        <v>#N/A</v>
      </c>
      <c r="BG35" s="33" t="e">
        <f>INDEX(Data!$AAL$2:$AAM$15,BE35,BF35)</f>
        <v>#N/A</v>
      </c>
      <c r="BH35" s="33" t="b">
        <f>IF(O35=Data!$ABF$1,Data!$ABD$1,IF(O35=Data!$ABF$2,Data!$ABE$1))</f>
        <v>0</v>
      </c>
      <c r="BI35" s="33" t="e">
        <f>VLOOKUP(H35,Data!$ABL$2:$ABM$8,2,FALSE)</f>
        <v>#N/A</v>
      </c>
      <c r="BJ35" s="172" t="e">
        <f>VLOOKUP(H35,Data!$ABW$2:$ABX$9,2,FALSE)</f>
        <v>#N/A</v>
      </c>
      <c r="BK35" s="172" t="e">
        <f>VLOOKUP(H35,Data!$ABW$2:$ABY$8,3,FALSE)</f>
        <v>#N/A</v>
      </c>
      <c r="BL35" s="172" t="str">
        <f t="shared" si="0"/>
        <v/>
      </c>
      <c r="BM35" s="172" t="str">
        <f t="shared" si="1"/>
        <v/>
      </c>
      <c r="BN35" s="172" t="str">
        <f t="shared" si="4"/>
        <v/>
      </c>
      <c r="BO35" s="33" t="e">
        <f t="shared" si="5"/>
        <v>#DIV/0!</v>
      </c>
      <c r="BP35" s="33" t="e">
        <f t="shared" si="6"/>
        <v>#DIV/0!</v>
      </c>
      <c r="BQ35" s="33" t="e">
        <f t="shared" si="7"/>
        <v>#DIV/0!</v>
      </c>
      <c r="BR35" s="33" t="str">
        <f t="shared" si="8"/>
        <v/>
      </c>
    </row>
    <row r="36" spans="1:70" ht="30" customHeight="1" thickTop="1" thickBot="1">
      <c r="A36" s="52">
        <v>29</v>
      </c>
      <c r="B36" s="13"/>
      <c r="C36" s="13"/>
      <c r="D36" s="19"/>
      <c r="E36" s="15"/>
      <c r="F36" s="14"/>
      <c r="G36" s="14"/>
      <c r="H36" s="14"/>
      <c r="I36" s="13"/>
      <c r="J36" s="14"/>
      <c r="K36" s="14"/>
      <c r="L36" s="525"/>
      <c r="M36" s="526"/>
      <c r="N36" s="15"/>
      <c r="O36" s="15"/>
      <c r="P36" s="15"/>
      <c r="Q36" s="13"/>
      <c r="R36" s="13"/>
      <c r="S36" s="13"/>
      <c r="T36" s="689"/>
      <c r="U36" s="690"/>
      <c r="V36" s="229"/>
      <c r="W36" s="230"/>
      <c r="X36" s="269" t="e">
        <f t="shared" si="2"/>
        <v>#N/A</v>
      </c>
      <c r="Y36" s="269" t="e">
        <f>VLOOKUP(Q36,Data!$QH$2:$QI$4,2,FALSE)</f>
        <v>#N/A</v>
      </c>
      <c r="AA36" s="269" t="e">
        <f t="shared" si="3"/>
        <v>#N/A</v>
      </c>
      <c r="AD36" s="172" t="e">
        <f>IF(#REF!=Data!$KK$2,Data!$KM$1,IF(#REF!=Data!$KK$3,Data!$KN$1,IF(#REF!=Data!$KK$4,Data!$KP$1,IF(#REF!=Data!$KK$5,Data!$KQ$1))))</f>
        <v>#REF!</v>
      </c>
      <c r="AE36" s="33" t="str">
        <f>IF(D36=Data!$W$10,Data!$QJ$1,Data!$QK$1)</f>
        <v>RollerControl</v>
      </c>
      <c r="AH36" s="33" t="b">
        <f>IF(Q36=Data!$PX$2,Data!$PZ$1,IF(Q36=Data!$PX$3,Data!$PY$1,IF(Q36=Data!$PX$4,Data!$QA$1)))</f>
        <v>0</v>
      </c>
      <c r="AJ36" s="33" t="b">
        <f>IF(Q36=Data!$PX$3,Data!$QB$1,IF(Q36=Data!$PX$2,Data!$QC$1,IF(Q36=Data!$PX$4,Data!$QD$1)))</f>
        <v>0</v>
      </c>
      <c r="AL36" s="33" t="str">
        <f>IF(D36=Data!$W$3,Data!$QF$1,IF(D36=Data!$W$4,Data!$QF$1,IF(D36=Data!$W$5,Data!$QF$1,IF(D36=Data!$W$6,Data!$QF$1,IF(D36=Data!$W$7,Data!$QF$1,IF(D36=Data!$W$8,Data!$QF$1,IF(D36=Data!$W$9,Data!$QF$1,IF(D36=Data!$W$10,Data!$QE$1,IF(D36=Data!$W$11,Data!$QF$1,IF(D36=Data!$W$12,Data!$QF$1,IF(D36=Data!$W$13,Data!$QF$1,IF(D36=Data!$W$14,Data!$QF$1,IF(D36=Data!$W$15,Data!$QF$1,IF(D36=Data!$W$16,Data!$QF$1))))))))))))))</f>
        <v>RollerBracketType2</v>
      </c>
      <c r="AV36" s="40" t="e">
        <f>IF(AND(G36&lt;2130, OR(#REF!&lt;2100)),Data!$KS$1,Data!$KT$1)</f>
        <v>#REF!</v>
      </c>
      <c r="AW36" s="172" t="e">
        <f>MATCH(#REF!,Data!$LA$1:$LD$1,0)</f>
        <v>#REF!</v>
      </c>
      <c r="AX36" s="172" t="e">
        <f>MATCH('Panel Glide Blinds'!AV36,Data!$KZ$2:$KZ$3,0)</f>
        <v>#REF!</v>
      </c>
      <c r="AY36" s="172" t="e">
        <f>INDEX(Data!$LA$2:$LD$3,'Panel Glide Blinds'!AX36,'Panel Glide Blinds'!AW36)</f>
        <v>#REF!</v>
      </c>
      <c r="BB36" s="172" t="e">
        <f>IF(#REF!=Data!$QK$2,Data!$QL$1,IF(#REF!=Data!$QK$3,Data!$QM$1,IF(#REF!=Data!$QK$4,Data!$QN$1,IF(#REF!=Data!$QK$5,Data!$QO$1,IF(#REF!=Data!$QK$6,Data!$QP$1,IF(#REF!=Data!$QK$7,Data!$QQ$1,IF(#REF!=Data!$QK$8,Data!$QR$1,IF(#REF!=Data!$QK$9,Data!$QS$1,IF(#REF!=Data!$QK$10,Data!$QT$1,IF(#REF!=Data!$QK$11,Data!$QU$1))))))))))</f>
        <v>#REF!</v>
      </c>
      <c r="BC36" s="33" t="e">
        <f>IF(#REF!=Data!$QK$2,Data!$QL$17,IF(#REF!=Data!$QK$3,Data!$QM$17,IF(#REF!=Data!$QK$4,Data!$QN$17,IF(#REF!=Data!$QK$5,Data!$QO$17,IF(#REF!=Data!$QK$6,Data!$QP$17,IF(#REF!=Data!$QK$7,Data!$QQ$17,IF(#REF!=Data!$QK$8,Data!$QR$17,IF(#REF!=Data!$QK$9,Data!$QS$17,IF(#REF!=Data!$QK$10,Data!$QT$17,IF(#REF!=Data!$QK$11,Data!$QU$17))))))))))</f>
        <v>#REF!</v>
      </c>
      <c r="BD36" s="33" t="e">
        <f>IF(#REF!=Data!$PU$2,Data!$PW$1,IF(#REF!=Data!$PU$3,Data!$PW$1,IF(#REF!=Data!$PU$4,Data!$PV$1,IF(#REF!=Data!$PU$5,Data!$PV$1,))))</f>
        <v>#REF!</v>
      </c>
      <c r="BE36" s="33" t="e">
        <f>MATCH('Panel Glide Blinds'!D36,Data!$AAK$2:$AAK$15)</f>
        <v>#N/A</v>
      </c>
      <c r="BF36" s="33" t="e">
        <f>MATCH(O36,Data!$AAL$1:$AAM$1)</f>
        <v>#N/A</v>
      </c>
      <c r="BG36" s="33" t="e">
        <f>INDEX(Data!$AAL$2:$AAM$15,BE36,BF36)</f>
        <v>#N/A</v>
      </c>
      <c r="BH36" s="33" t="b">
        <f>IF(O36=Data!$ABF$1,Data!$ABD$1,IF(O36=Data!$ABF$2,Data!$ABE$1))</f>
        <v>0</v>
      </c>
      <c r="BI36" s="33" t="e">
        <f>VLOOKUP(H36,Data!$ABL$2:$ABM$8,2,FALSE)</f>
        <v>#N/A</v>
      </c>
      <c r="BJ36" s="172" t="e">
        <f>VLOOKUP(H36,Data!$ABW$2:$ABX$9,2,FALSE)</f>
        <v>#N/A</v>
      </c>
      <c r="BK36" s="172" t="e">
        <f>VLOOKUP(H36,Data!$ABW$2:$ABY$8,3,FALSE)</f>
        <v>#N/A</v>
      </c>
      <c r="BL36" s="172" t="str">
        <f t="shared" si="0"/>
        <v/>
      </c>
      <c r="BM36" s="172" t="str">
        <f t="shared" si="1"/>
        <v/>
      </c>
      <c r="BN36" s="172" t="str">
        <f t="shared" si="4"/>
        <v/>
      </c>
      <c r="BO36" s="33" t="e">
        <f t="shared" si="5"/>
        <v>#DIV/0!</v>
      </c>
      <c r="BP36" s="33" t="e">
        <f t="shared" si="6"/>
        <v>#DIV/0!</v>
      </c>
      <c r="BQ36" s="33" t="e">
        <f t="shared" si="7"/>
        <v>#DIV/0!</v>
      </c>
      <c r="BR36" s="33" t="str">
        <f t="shared" si="8"/>
        <v/>
      </c>
    </row>
    <row r="37" spans="1:70" ht="30" customHeight="1" thickTop="1" thickBot="1">
      <c r="A37" s="52">
        <v>30</v>
      </c>
      <c r="B37" s="13"/>
      <c r="C37" s="13"/>
      <c r="D37" s="19"/>
      <c r="E37" s="15"/>
      <c r="F37" s="14"/>
      <c r="G37" s="14"/>
      <c r="H37" s="14"/>
      <c r="I37" s="13"/>
      <c r="J37" s="14"/>
      <c r="K37" s="14"/>
      <c r="L37" s="525"/>
      <c r="M37" s="526"/>
      <c r="N37" s="15"/>
      <c r="O37" s="15"/>
      <c r="P37" s="15"/>
      <c r="Q37" s="13"/>
      <c r="R37" s="13"/>
      <c r="S37" s="13"/>
      <c r="T37" s="689"/>
      <c r="U37" s="690"/>
      <c r="V37" s="229"/>
      <c r="W37" s="230"/>
      <c r="X37" s="269" t="e">
        <f t="shared" si="2"/>
        <v>#N/A</v>
      </c>
      <c r="Y37" s="269" t="e">
        <f>VLOOKUP(Q37,Data!$QH$2:$QI$4,2,FALSE)</f>
        <v>#N/A</v>
      </c>
      <c r="AA37" s="269" t="e">
        <f t="shared" si="3"/>
        <v>#N/A</v>
      </c>
      <c r="AD37" s="172" t="e">
        <f>IF(#REF!=Data!$KK$2,Data!$KM$1,IF(#REF!=Data!$KK$3,Data!$KN$1,IF(#REF!=Data!$KK$4,Data!$KP$1,IF(#REF!=Data!$KK$5,Data!$KQ$1))))</f>
        <v>#REF!</v>
      </c>
      <c r="AE37" s="33" t="str">
        <f>IF(D37=Data!$W$10,Data!$QJ$1,Data!$QK$1)</f>
        <v>RollerControl</v>
      </c>
      <c r="AH37" s="33" t="b">
        <f>IF(Q37=Data!$PX$2,Data!$PZ$1,IF(Q37=Data!$PX$3,Data!$PY$1,IF(Q37=Data!$PX$4,Data!$QA$1)))</f>
        <v>0</v>
      </c>
      <c r="AJ37" s="33" t="b">
        <f>IF(Q37=Data!$PX$3,Data!$QB$1,IF(Q37=Data!$PX$2,Data!$QC$1,IF(Q37=Data!$PX$4,Data!$QD$1)))</f>
        <v>0</v>
      </c>
      <c r="AL37" s="33" t="str">
        <f>IF(D37=Data!$W$3,Data!$QF$1,IF(D37=Data!$W$4,Data!$QF$1,IF(D37=Data!$W$5,Data!$QF$1,IF(D37=Data!$W$6,Data!$QF$1,IF(D37=Data!$W$7,Data!$QF$1,IF(D37=Data!$W$8,Data!$QF$1,IF(D37=Data!$W$9,Data!$QF$1,IF(D37=Data!$W$10,Data!$QE$1,IF(D37=Data!$W$11,Data!$QF$1,IF(D37=Data!$W$12,Data!$QF$1,IF(D37=Data!$W$13,Data!$QF$1,IF(D37=Data!$W$14,Data!$QF$1,IF(D37=Data!$W$15,Data!$QF$1,IF(D37=Data!$W$16,Data!$QF$1))))))))))))))</f>
        <v>RollerBracketType2</v>
      </c>
      <c r="AV37" s="40" t="e">
        <f>IF(AND(G37&lt;2130, OR(#REF!&lt;2100)),Data!$KS$1,Data!$KT$1)</f>
        <v>#REF!</v>
      </c>
      <c r="AW37" s="172" t="e">
        <f>MATCH(#REF!,Data!$LA$1:$LD$1,0)</f>
        <v>#REF!</v>
      </c>
      <c r="AX37" s="172" t="e">
        <f>MATCH('Panel Glide Blinds'!AV37,Data!$KZ$2:$KZ$3,0)</f>
        <v>#REF!</v>
      </c>
      <c r="AY37" s="172" t="e">
        <f>INDEX(Data!$LA$2:$LD$3,'Panel Glide Blinds'!AX37,'Panel Glide Blinds'!AW37)</f>
        <v>#REF!</v>
      </c>
      <c r="BB37" s="172" t="e">
        <f>IF(#REF!=Data!$QK$2,Data!$QL$1,IF(#REF!=Data!$QK$3,Data!$QM$1,IF(#REF!=Data!$QK$4,Data!$QN$1,IF(#REF!=Data!$QK$5,Data!$QO$1,IF(#REF!=Data!$QK$6,Data!$QP$1,IF(#REF!=Data!$QK$7,Data!$QQ$1,IF(#REF!=Data!$QK$8,Data!$QR$1,IF(#REF!=Data!$QK$9,Data!$QS$1,IF(#REF!=Data!$QK$10,Data!$QT$1,IF(#REF!=Data!$QK$11,Data!$QU$1))))))))))</f>
        <v>#REF!</v>
      </c>
      <c r="BC37" s="33" t="e">
        <f>IF(#REF!=Data!$QK$2,Data!$QL$17,IF(#REF!=Data!$QK$3,Data!$QM$17,IF(#REF!=Data!$QK$4,Data!$QN$17,IF(#REF!=Data!$QK$5,Data!$QO$17,IF(#REF!=Data!$QK$6,Data!$QP$17,IF(#REF!=Data!$QK$7,Data!$QQ$17,IF(#REF!=Data!$QK$8,Data!$QR$17,IF(#REF!=Data!$QK$9,Data!$QS$17,IF(#REF!=Data!$QK$10,Data!$QT$17,IF(#REF!=Data!$QK$11,Data!$QU$17))))))))))</f>
        <v>#REF!</v>
      </c>
      <c r="BD37" s="33" t="e">
        <f>IF(#REF!=Data!$PU$2,Data!$PW$1,IF(#REF!=Data!$PU$3,Data!$PW$1,IF(#REF!=Data!$PU$4,Data!$PV$1,IF(#REF!=Data!$PU$5,Data!$PV$1,))))</f>
        <v>#REF!</v>
      </c>
      <c r="BE37" s="33" t="e">
        <f>MATCH('Panel Glide Blinds'!D37,Data!$AAK$2:$AAK$15)</f>
        <v>#N/A</v>
      </c>
      <c r="BF37" s="33" t="e">
        <f>MATCH(O37,Data!$AAL$1:$AAM$1)</f>
        <v>#N/A</v>
      </c>
      <c r="BG37" s="33" t="e">
        <f>INDEX(Data!$AAL$2:$AAM$15,BE37,BF37)</f>
        <v>#N/A</v>
      </c>
      <c r="BH37" s="33" t="b">
        <f>IF(O37=Data!$ABF$1,Data!$ABD$1,IF(O37=Data!$ABF$2,Data!$ABE$1))</f>
        <v>0</v>
      </c>
      <c r="BI37" s="33" t="e">
        <f>VLOOKUP(H37,Data!$ABL$2:$ABM$8,2,FALSE)</f>
        <v>#N/A</v>
      </c>
      <c r="BJ37" s="172" t="e">
        <f>VLOOKUP(H37,Data!$ABW$2:$ABX$9,2,FALSE)</f>
        <v>#N/A</v>
      </c>
      <c r="BK37" s="172" t="e">
        <f>VLOOKUP(H37,Data!$ABW$2:$ABY$8,3,FALSE)</f>
        <v>#N/A</v>
      </c>
      <c r="BL37" s="172" t="str">
        <f t="shared" si="0"/>
        <v/>
      </c>
      <c r="BM37" s="172" t="str">
        <f t="shared" si="1"/>
        <v/>
      </c>
      <c r="BN37" s="172" t="str">
        <f t="shared" si="4"/>
        <v/>
      </c>
      <c r="BO37" s="33" t="e">
        <f t="shared" si="5"/>
        <v>#DIV/0!</v>
      </c>
      <c r="BP37" s="33" t="e">
        <f t="shared" si="6"/>
        <v>#DIV/0!</v>
      </c>
      <c r="BQ37" s="33" t="e">
        <f t="shared" si="7"/>
        <v>#DIV/0!</v>
      </c>
      <c r="BR37" s="33" t="str">
        <f t="shared" si="8"/>
        <v/>
      </c>
    </row>
    <row r="38" spans="1:70" ht="30" customHeight="1" thickTop="1" thickBot="1">
      <c r="A38" s="52">
        <v>31</v>
      </c>
      <c r="B38" s="13"/>
      <c r="C38" s="13"/>
      <c r="D38" s="19"/>
      <c r="E38" s="15"/>
      <c r="F38" s="14"/>
      <c r="G38" s="14"/>
      <c r="H38" s="14"/>
      <c r="I38" s="13"/>
      <c r="J38" s="14"/>
      <c r="K38" s="14"/>
      <c r="L38" s="525"/>
      <c r="M38" s="526"/>
      <c r="N38" s="15"/>
      <c r="O38" s="15"/>
      <c r="P38" s="15"/>
      <c r="Q38" s="13"/>
      <c r="R38" s="13"/>
      <c r="S38" s="13"/>
      <c r="T38" s="689"/>
      <c r="U38" s="690"/>
      <c r="V38" s="229"/>
      <c r="W38" s="230"/>
      <c r="X38" s="269" t="e">
        <f t="shared" si="2"/>
        <v>#N/A</v>
      </c>
      <c r="Y38" s="269" t="e">
        <f>VLOOKUP(Q38,Data!$QH$2:$QI$4,2,FALSE)</f>
        <v>#N/A</v>
      </c>
      <c r="AA38" s="269" t="e">
        <f t="shared" si="3"/>
        <v>#N/A</v>
      </c>
      <c r="AD38" s="172" t="e">
        <f>IF(#REF!=Data!$KK$2,Data!$KM$1,IF(#REF!=Data!$KK$3,Data!$KN$1,IF(#REF!=Data!$KK$4,Data!$KP$1,IF(#REF!=Data!$KK$5,Data!$KQ$1))))</f>
        <v>#REF!</v>
      </c>
      <c r="AE38" s="33" t="str">
        <f>IF(D38=Data!$W$10,Data!$QJ$1,Data!$QK$1)</f>
        <v>RollerControl</v>
      </c>
      <c r="AH38" s="33" t="b">
        <f>IF(Q38=Data!$PX$2,Data!$PZ$1,IF(Q38=Data!$PX$3,Data!$PY$1,IF(Q38=Data!$PX$4,Data!$QA$1)))</f>
        <v>0</v>
      </c>
      <c r="AJ38" s="33" t="b">
        <f>IF(Q38=Data!$PX$3,Data!$QB$1,IF(Q38=Data!$PX$2,Data!$QC$1,IF(Q38=Data!$PX$4,Data!$QD$1)))</f>
        <v>0</v>
      </c>
      <c r="AL38" s="33" t="str">
        <f>IF(D38=Data!$W$3,Data!$QF$1,IF(D38=Data!$W$4,Data!$QF$1,IF(D38=Data!$W$5,Data!$QF$1,IF(D38=Data!$W$6,Data!$QF$1,IF(D38=Data!$W$7,Data!$QF$1,IF(D38=Data!$W$8,Data!$QF$1,IF(D38=Data!$W$9,Data!$QF$1,IF(D38=Data!$W$10,Data!$QE$1,IF(D38=Data!$W$11,Data!$QF$1,IF(D38=Data!$W$12,Data!$QF$1,IF(D38=Data!$W$13,Data!$QF$1,IF(D38=Data!$W$14,Data!$QF$1,IF(D38=Data!$W$15,Data!$QF$1,IF(D38=Data!$W$16,Data!$QF$1))))))))))))))</f>
        <v>RollerBracketType2</v>
      </c>
      <c r="AV38" s="40" t="e">
        <f>IF(AND(G38&lt;2130, OR(#REF!&lt;2100)),Data!$KS$1,Data!$KT$1)</f>
        <v>#REF!</v>
      </c>
      <c r="AW38" s="172" t="e">
        <f>MATCH(#REF!,Data!$LA$1:$LD$1,0)</f>
        <v>#REF!</v>
      </c>
      <c r="AX38" s="172" t="e">
        <f>MATCH('Panel Glide Blinds'!AV38,Data!$KZ$2:$KZ$3,0)</f>
        <v>#REF!</v>
      </c>
      <c r="AY38" s="172" t="e">
        <f>INDEX(Data!$LA$2:$LD$3,'Panel Glide Blinds'!AX38,'Panel Glide Blinds'!AW38)</f>
        <v>#REF!</v>
      </c>
      <c r="BB38" s="172" t="e">
        <f>IF(#REF!=Data!$QK$2,Data!$QL$1,IF(#REF!=Data!$QK$3,Data!$QM$1,IF(#REF!=Data!$QK$4,Data!$QN$1,IF(#REF!=Data!$QK$5,Data!$QO$1,IF(#REF!=Data!$QK$6,Data!$QP$1,IF(#REF!=Data!$QK$7,Data!$QQ$1,IF(#REF!=Data!$QK$8,Data!$QR$1,IF(#REF!=Data!$QK$9,Data!$QS$1,IF(#REF!=Data!$QK$10,Data!$QT$1,IF(#REF!=Data!$QK$11,Data!$QU$1))))))))))</f>
        <v>#REF!</v>
      </c>
      <c r="BC38" s="33" t="e">
        <f>IF(#REF!=Data!$QK$2,Data!$QL$17,IF(#REF!=Data!$QK$3,Data!$QM$17,IF(#REF!=Data!$QK$4,Data!$QN$17,IF(#REF!=Data!$QK$5,Data!$QO$17,IF(#REF!=Data!$QK$6,Data!$QP$17,IF(#REF!=Data!$QK$7,Data!$QQ$17,IF(#REF!=Data!$QK$8,Data!$QR$17,IF(#REF!=Data!$QK$9,Data!$QS$17,IF(#REF!=Data!$QK$10,Data!$QT$17,IF(#REF!=Data!$QK$11,Data!$QU$17))))))))))</f>
        <v>#REF!</v>
      </c>
      <c r="BD38" s="33" t="e">
        <f>IF(#REF!=Data!$PU$2,Data!$PW$1,IF(#REF!=Data!$PU$3,Data!$PW$1,IF(#REF!=Data!$PU$4,Data!$PV$1,IF(#REF!=Data!$PU$5,Data!$PV$1,))))</f>
        <v>#REF!</v>
      </c>
      <c r="BE38" s="33" t="e">
        <f>MATCH('Panel Glide Blinds'!D38,Data!$AAK$2:$AAK$15)</f>
        <v>#N/A</v>
      </c>
      <c r="BF38" s="33" t="e">
        <f>MATCH(O38,Data!$AAL$1:$AAM$1)</f>
        <v>#N/A</v>
      </c>
      <c r="BG38" s="33" t="e">
        <f>INDEX(Data!$AAL$2:$AAM$15,BE38,BF38)</f>
        <v>#N/A</v>
      </c>
      <c r="BH38" s="33" t="b">
        <f>IF(O38=Data!$ABF$1,Data!$ABD$1,IF(O38=Data!$ABF$2,Data!$ABE$1))</f>
        <v>0</v>
      </c>
      <c r="BI38" s="33" t="e">
        <f>VLOOKUP(H38,Data!$ABL$2:$ABM$8,2,FALSE)</f>
        <v>#N/A</v>
      </c>
      <c r="BJ38" s="172" t="e">
        <f>VLOOKUP(H38,Data!$ABW$2:$ABX$9,2,FALSE)</f>
        <v>#N/A</v>
      </c>
      <c r="BK38" s="172" t="e">
        <f>VLOOKUP(H38,Data!$ABW$2:$ABY$8,3,FALSE)</f>
        <v>#N/A</v>
      </c>
      <c r="BL38" s="172" t="str">
        <f t="shared" si="0"/>
        <v/>
      </c>
      <c r="BM38" s="172" t="str">
        <f t="shared" si="1"/>
        <v/>
      </c>
      <c r="BN38" s="172" t="str">
        <f t="shared" si="4"/>
        <v/>
      </c>
      <c r="BO38" s="33" t="e">
        <f t="shared" si="5"/>
        <v>#DIV/0!</v>
      </c>
      <c r="BP38" s="33" t="e">
        <f t="shared" si="6"/>
        <v>#DIV/0!</v>
      </c>
      <c r="BQ38" s="33" t="e">
        <f t="shared" si="7"/>
        <v>#DIV/0!</v>
      </c>
      <c r="BR38" s="33" t="str">
        <f t="shared" si="8"/>
        <v/>
      </c>
    </row>
    <row r="39" spans="1:70" ht="30" customHeight="1" thickTop="1" thickBot="1">
      <c r="A39" s="52">
        <v>32</v>
      </c>
      <c r="B39" s="13"/>
      <c r="C39" s="13"/>
      <c r="D39" s="19"/>
      <c r="E39" s="15"/>
      <c r="F39" s="14"/>
      <c r="G39" s="14"/>
      <c r="H39" s="14"/>
      <c r="I39" s="13"/>
      <c r="J39" s="14"/>
      <c r="K39" s="14"/>
      <c r="L39" s="525"/>
      <c r="M39" s="526"/>
      <c r="N39" s="15"/>
      <c r="O39" s="15"/>
      <c r="P39" s="15"/>
      <c r="Q39" s="13"/>
      <c r="R39" s="13"/>
      <c r="S39" s="13"/>
      <c r="T39" s="689"/>
      <c r="U39" s="690"/>
      <c r="V39" s="229"/>
      <c r="W39" s="230"/>
      <c r="X39" s="269" t="e">
        <f t="shared" si="2"/>
        <v>#N/A</v>
      </c>
      <c r="Y39" s="269" t="e">
        <f>VLOOKUP(Q39,Data!$QH$2:$QI$4,2,FALSE)</f>
        <v>#N/A</v>
      </c>
      <c r="AA39" s="269" t="e">
        <f t="shared" si="3"/>
        <v>#N/A</v>
      </c>
      <c r="AD39" s="172" t="e">
        <f>IF(#REF!=Data!$KK$2,Data!$KM$1,IF(#REF!=Data!$KK$3,Data!$KN$1,IF(#REF!=Data!$KK$4,Data!$KP$1,IF(#REF!=Data!$KK$5,Data!$KQ$1))))</f>
        <v>#REF!</v>
      </c>
      <c r="AE39" s="33" t="str">
        <f>IF(D39=Data!$W$10,Data!$QJ$1,Data!$QK$1)</f>
        <v>RollerControl</v>
      </c>
      <c r="AH39" s="33" t="b">
        <f>IF(Q39=Data!$PX$2,Data!$PZ$1,IF(Q39=Data!$PX$3,Data!$PY$1,IF(Q39=Data!$PX$4,Data!$QA$1)))</f>
        <v>0</v>
      </c>
      <c r="AJ39" s="33" t="b">
        <f>IF(Q39=Data!$PX$3,Data!$QB$1,IF(Q39=Data!$PX$2,Data!$QC$1,IF(Q39=Data!$PX$4,Data!$QD$1)))</f>
        <v>0</v>
      </c>
      <c r="AL39" s="33" t="str">
        <f>IF(D39=Data!$W$3,Data!$QF$1,IF(D39=Data!$W$4,Data!$QF$1,IF(D39=Data!$W$5,Data!$QF$1,IF(D39=Data!$W$6,Data!$QF$1,IF(D39=Data!$W$7,Data!$QF$1,IF(D39=Data!$W$8,Data!$QF$1,IF(D39=Data!$W$9,Data!$QF$1,IF(D39=Data!$W$10,Data!$QE$1,IF(D39=Data!$W$11,Data!$QF$1,IF(D39=Data!$W$12,Data!$QF$1,IF(D39=Data!$W$13,Data!$QF$1,IF(D39=Data!$W$14,Data!$QF$1,IF(D39=Data!$W$15,Data!$QF$1,IF(D39=Data!$W$16,Data!$QF$1))))))))))))))</f>
        <v>RollerBracketType2</v>
      </c>
      <c r="AV39" s="40" t="e">
        <f>IF(AND(G39&lt;2130, OR(#REF!&lt;2100)),Data!$KS$1,Data!$KT$1)</f>
        <v>#REF!</v>
      </c>
      <c r="AW39" s="172" t="e">
        <f>MATCH(#REF!,Data!$LA$1:$LD$1,0)</f>
        <v>#REF!</v>
      </c>
      <c r="AX39" s="172" t="e">
        <f>MATCH('Panel Glide Blinds'!AV39,Data!$KZ$2:$KZ$3,0)</f>
        <v>#REF!</v>
      </c>
      <c r="AY39" s="172" t="e">
        <f>INDEX(Data!$LA$2:$LD$3,'Panel Glide Blinds'!AX39,'Panel Glide Blinds'!AW39)</f>
        <v>#REF!</v>
      </c>
      <c r="BB39" s="172" t="e">
        <f>IF(#REF!=Data!$QK$2,Data!$QL$1,IF(#REF!=Data!$QK$3,Data!$QM$1,IF(#REF!=Data!$QK$4,Data!$QN$1,IF(#REF!=Data!$QK$5,Data!$QO$1,IF(#REF!=Data!$QK$6,Data!$QP$1,IF(#REF!=Data!$QK$7,Data!$QQ$1,IF(#REF!=Data!$QK$8,Data!$QR$1,IF(#REF!=Data!$QK$9,Data!$QS$1,IF(#REF!=Data!$QK$10,Data!$QT$1,IF(#REF!=Data!$QK$11,Data!$QU$1))))))))))</f>
        <v>#REF!</v>
      </c>
      <c r="BC39" s="33" t="e">
        <f>IF(#REF!=Data!$QK$2,Data!$QL$17,IF(#REF!=Data!$QK$3,Data!$QM$17,IF(#REF!=Data!$QK$4,Data!$QN$17,IF(#REF!=Data!$QK$5,Data!$QO$17,IF(#REF!=Data!$QK$6,Data!$QP$17,IF(#REF!=Data!$QK$7,Data!$QQ$17,IF(#REF!=Data!$QK$8,Data!$QR$17,IF(#REF!=Data!$QK$9,Data!$QS$17,IF(#REF!=Data!$QK$10,Data!$QT$17,IF(#REF!=Data!$QK$11,Data!$QU$17))))))))))</f>
        <v>#REF!</v>
      </c>
      <c r="BD39" s="33" t="e">
        <f>IF(#REF!=Data!$PU$2,Data!$PW$1,IF(#REF!=Data!$PU$3,Data!$PW$1,IF(#REF!=Data!$PU$4,Data!$PV$1,IF(#REF!=Data!$PU$5,Data!$PV$1,))))</f>
        <v>#REF!</v>
      </c>
      <c r="BE39" s="33" t="e">
        <f>MATCH('Panel Glide Blinds'!D39,Data!$AAK$2:$AAK$15)</f>
        <v>#N/A</v>
      </c>
      <c r="BF39" s="33" t="e">
        <f>MATCH(O39,Data!$AAL$1:$AAM$1)</f>
        <v>#N/A</v>
      </c>
      <c r="BG39" s="33" t="e">
        <f>INDEX(Data!$AAL$2:$AAM$15,BE39,BF39)</f>
        <v>#N/A</v>
      </c>
      <c r="BH39" s="33" t="b">
        <f>IF(O39=Data!$ABF$1,Data!$ABD$1,IF(O39=Data!$ABF$2,Data!$ABE$1))</f>
        <v>0</v>
      </c>
      <c r="BI39" s="33" t="e">
        <f>VLOOKUP(H39,Data!$ABL$2:$ABM$8,2,FALSE)</f>
        <v>#N/A</v>
      </c>
      <c r="BJ39" s="172" t="e">
        <f>VLOOKUP(H39,Data!$ABW$2:$ABX$9,2,FALSE)</f>
        <v>#N/A</v>
      </c>
      <c r="BK39" s="172" t="e">
        <f>VLOOKUP(H39,Data!$ABW$2:$ABY$8,3,FALSE)</f>
        <v>#N/A</v>
      </c>
      <c r="BL39" s="172" t="str">
        <f t="shared" si="0"/>
        <v/>
      </c>
      <c r="BM39" s="172" t="str">
        <f t="shared" si="1"/>
        <v/>
      </c>
      <c r="BN39" s="172" t="str">
        <f t="shared" si="4"/>
        <v/>
      </c>
      <c r="BO39" s="33" t="e">
        <f t="shared" si="5"/>
        <v>#DIV/0!</v>
      </c>
      <c r="BP39" s="33" t="e">
        <f t="shared" si="6"/>
        <v>#DIV/0!</v>
      </c>
      <c r="BQ39" s="33" t="e">
        <f t="shared" si="7"/>
        <v>#DIV/0!</v>
      </c>
      <c r="BR39" s="33" t="str">
        <f t="shared" si="8"/>
        <v/>
      </c>
    </row>
    <row r="40" spans="1:70" ht="30" customHeight="1" thickTop="1" thickBot="1">
      <c r="A40" s="52">
        <v>33</v>
      </c>
      <c r="B40" s="13"/>
      <c r="C40" s="13"/>
      <c r="D40" s="19"/>
      <c r="E40" s="15"/>
      <c r="F40" s="14"/>
      <c r="G40" s="14"/>
      <c r="H40" s="14"/>
      <c r="I40" s="13"/>
      <c r="J40" s="14"/>
      <c r="K40" s="14"/>
      <c r="L40" s="525"/>
      <c r="M40" s="526"/>
      <c r="N40" s="15"/>
      <c r="O40" s="15"/>
      <c r="P40" s="15"/>
      <c r="Q40" s="13"/>
      <c r="R40" s="13"/>
      <c r="S40" s="13"/>
      <c r="T40" s="689"/>
      <c r="U40" s="690"/>
      <c r="V40" s="229"/>
      <c r="W40" s="230"/>
      <c r="X40" s="269" t="e">
        <f t="shared" si="2"/>
        <v>#N/A</v>
      </c>
      <c r="Y40" s="269" t="e">
        <f>VLOOKUP(Q40,Data!$QH$2:$QI$4,2,FALSE)</f>
        <v>#N/A</v>
      </c>
      <c r="AA40" s="269" t="e">
        <f t="shared" si="3"/>
        <v>#N/A</v>
      </c>
      <c r="AD40" s="172" t="e">
        <f>IF(#REF!=Data!$KK$2,Data!$KM$1,IF(#REF!=Data!$KK$3,Data!$KN$1,IF(#REF!=Data!$KK$4,Data!$KP$1,IF(#REF!=Data!$KK$5,Data!$KQ$1))))</f>
        <v>#REF!</v>
      </c>
      <c r="AE40" s="33" t="str">
        <f>IF(D40=Data!$W$10,Data!$QJ$1,Data!$QK$1)</f>
        <v>RollerControl</v>
      </c>
      <c r="AH40" s="33" t="b">
        <f>IF(Q40=Data!$PX$2,Data!$PZ$1,IF(Q40=Data!$PX$3,Data!$PY$1,IF(Q40=Data!$PX$4,Data!$QA$1)))</f>
        <v>0</v>
      </c>
      <c r="AJ40" s="33" t="b">
        <f>IF(Q40=Data!$PX$3,Data!$QB$1,IF(Q40=Data!$PX$2,Data!$QC$1,IF(Q40=Data!$PX$4,Data!$QD$1)))</f>
        <v>0</v>
      </c>
      <c r="AL40" s="33" t="str">
        <f>IF(D40=Data!$W$3,Data!$QF$1,IF(D40=Data!$W$4,Data!$QF$1,IF(D40=Data!$W$5,Data!$QF$1,IF(D40=Data!$W$6,Data!$QF$1,IF(D40=Data!$W$7,Data!$QF$1,IF(D40=Data!$W$8,Data!$QF$1,IF(D40=Data!$W$9,Data!$QF$1,IF(D40=Data!$W$10,Data!$QE$1,IF(D40=Data!$W$11,Data!$QF$1,IF(D40=Data!$W$12,Data!$QF$1,IF(D40=Data!$W$13,Data!$QF$1,IF(D40=Data!$W$14,Data!$QF$1,IF(D40=Data!$W$15,Data!$QF$1,IF(D40=Data!$W$16,Data!$QF$1))))))))))))))</f>
        <v>RollerBracketType2</v>
      </c>
      <c r="AV40" s="40" t="e">
        <f>IF(AND(G40&lt;2130, OR(#REF!&lt;2100)),Data!$KS$1,Data!$KT$1)</f>
        <v>#REF!</v>
      </c>
      <c r="AW40" s="172" t="e">
        <f>MATCH(#REF!,Data!$LA$1:$LD$1,0)</f>
        <v>#REF!</v>
      </c>
      <c r="AX40" s="172" t="e">
        <f>MATCH('Panel Glide Blinds'!AV40,Data!$KZ$2:$KZ$3,0)</f>
        <v>#REF!</v>
      </c>
      <c r="AY40" s="172" t="e">
        <f>INDEX(Data!$LA$2:$LD$3,'Panel Glide Blinds'!AX40,'Panel Glide Blinds'!AW40)</f>
        <v>#REF!</v>
      </c>
      <c r="BB40" s="172" t="e">
        <f>IF(#REF!=Data!$QK$2,Data!$QL$1,IF(#REF!=Data!$QK$3,Data!$QM$1,IF(#REF!=Data!$QK$4,Data!$QN$1,IF(#REF!=Data!$QK$5,Data!$QO$1,IF(#REF!=Data!$QK$6,Data!$QP$1,IF(#REF!=Data!$QK$7,Data!$QQ$1,IF(#REF!=Data!$QK$8,Data!$QR$1,IF(#REF!=Data!$QK$9,Data!$QS$1,IF(#REF!=Data!$QK$10,Data!$QT$1,IF(#REF!=Data!$QK$11,Data!$QU$1))))))))))</f>
        <v>#REF!</v>
      </c>
      <c r="BC40" s="33" t="e">
        <f>IF(#REF!=Data!$QK$2,Data!$QL$17,IF(#REF!=Data!$QK$3,Data!$QM$17,IF(#REF!=Data!$QK$4,Data!$QN$17,IF(#REF!=Data!$QK$5,Data!$QO$17,IF(#REF!=Data!$QK$6,Data!$QP$17,IF(#REF!=Data!$QK$7,Data!$QQ$17,IF(#REF!=Data!$QK$8,Data!$QR$17,IF(#REF!=Data!$QK$9,Data!$QS$17,IF(#REF!=Data!$QK$10,Data!$QT$17,IF(#REF!=Data!$QK$11,Data!$QU$17))))))))))</f>
        <v>#REF!</v>
      </c>
      <c r="BD40" s="33" t="e">
        <f>IF(#REF!=Data!$PU$2,Data!$PW$1,IF(#REF!=Data!$PU$3,Data!$PW$1,IF(#REF!=Data!$PU$4,Data!$PV$1,IF(#REF!=Data!$PU$5,Data!$PV$1,))))</f>
        <v>#REF!</v>
      </c>
      <c r="BE40" s="33" t="e">
        <f>MATCH('Panel Glide Blinds'!D40,Data!$AAK$2:$AAK$15)</f>
        <v>#N/A</v>
      </c>
      <c r="BF40" s="33" t="e">
        <f>MATCH(O40,Data!$AAL$1:$AAM$1)</f>
        <v>#N/A</v>
      </c>
      <c r="BG40" s="33" t="e">
        <f>INDEX(Data!$AAL$2:$AAM$15,BE40,BF40)</f>
        <v>#N/A</v>
      </c>
      <c r="BH40" s="33" t="b">
        <f>IF(O40=Data!$ABF$1,Data!$ABD$1,IF(O40=Data!$ABF$2,Data!$ABE$1))</f>
        <v>0</v>
      </c>
      <c r="BI40" s="33" t="e">
        <f>VLOOKUP(H40,Data!$ABL$2:$ABM$8,2,FALSE)</f>
        <v>#N/A</v>
      </c>
      <c r="BJ40" s="172" t="e">
        <f>VLOOKUP(H40,Data!$ABW$2:$ABX$9,2,FALSE)</f>
        <v>#N/A</v>
      </c>
      <c r="BK40" s="172" t="e">
        <f>VLOOKUP(H40,Data!$ABW$2:$ABY$8,3,FALSE)</f>
        <v>#N/A</v>
      </c>
      <c r="BL40" s="172" t="str">
        <f t="shared" ref="BL40:BL57" si="9">IF(F40="","",IF(F40&lt;BJ40,"Yes","No"))</f>
        <v/>
      </c>
      <c r="BM40" s="172" t="str">
        <f t="shared" ref="BM40:BM57" si="10">IF(F40="","",IF(F40&gt;BK40,"Yes","No"))</f>
        <v/>
      </c>
      <c r="BN40" s="172" t="str">
        <f t="shared" si="4"/>
        <v/>
      </c>
      <c r="BO40" s="33" t="e">
        <f t="shared" si="5"/>
        <v>#DIV/0!</v>
      </c>
      <c r="BP40" s="33" t="e">
        <f t="shared" si="6"/>
        <v>#DIV/0!</v>
      </c>
      <c r="BQ40" s="33" t="e">
        <f t="shared" si="7"/>
        <v>#DIV/0!</v>
      </c>
      <c r="BR40" s="33" t="str">
        <f t="shared" si="8"/>
        <v/>
      </c>
    </row>
    <row r="41" spans="1:70" ht="30" customHeight="1" thickTop="1" thickBot="1">
      <c r="A41" s="52">
        <v>34</v>
      </c>
      <c r="B41" s="13"/>
      <c r="C41" s="13"/>
      <c r="D41" s="19"/>
      <c r="E41" s="15"/>
      <c r="F41" s="14"/>
      <c r="G41" s="14"/>
      <c r="H41" s="14"/>
      <c r="I41" s="13"/>
      <c r="J41" s="14"/>
      <c r="K41" s="14"/>
      <c r="L41" s="525"/>
      <c r="M41" s="526"/>
      <c r="N41" s="15"/>
      <c r="O41" s="15"/>
      <c r="P41" s="15"/>
      <c r="Q41" s="13"/>
      <c r="R41" s="13"/>
      <c r="S41" s="13"/>
      <c r="T41" s="689"/>
      <c r="U41" s="690"/>
      <c r="V41" s="229"/>
      <c r="W41" s="230"/>
      <c r="X41" s="269" t="e">
        <f t="shared" si="2"/>
        <v>#N/A</v>
      </c>
      <c r="Y41" s="269" t="e">
        <f>VLOOKUP(Q41,Data!$QH$2:$QI$4,2,FALSE)</f>
        <v>#N/A</v>
      </c>
      <c r="AA41" s="269" t="e">
        <f t="shared" si="3"/>
        <v>#N/A</v>
      </c>
      <c r="AD41" s="172" t="e">
        <f>IF(#REF!=Data!$KK$2,Data!$KM$1,IF(#REF!=Data!$KK$3,Data!$KN$1,IF(#REF!=Data!$KK$4,Data!$KP$1,IF(#REF!=Data!$KK$5,Data!$KQ$1))))</f>
        <v>#REF!</v>
      </c>
      <c r="AE41" s="33" t="str">
        <f>IF(D41=Data!$W$10,Data!$QJ$1,Data!$QK$1)</f>
        <v>RollerControl</v>
      </c>
      <c r="AH41" s="33" t="b">
        <f>IF(Q41=Data!$PX$2,Data!$PZ$1,IF(Q41=Data!$PX$3,Data!$PY$1,IF(Q41=Data!$PX$4,Data!$QA$1)))</f>
        <v>0</v>
      </c>
      <c r="AJ41" s="33" t="b">
        <f>IF(Q41=Data!$PX$3,Data!$QB$1,IF(Q41=Data!$PX$2,Data!$QC$1,IF(Q41=Data!$PX$4,Data!$QD$1)))</f>
        <v>0</v>
      </c>
      <c r="AL41" s="33" t="str">
        <f>IF(D41=Data!$W$3,Data!$QF$1,IF(D41=Data!$W$4,Data!$QF$1,IF(D41=Data!$W$5,Data!$QF$1,IF(D41=Data!$W$6,Data!$QF$1,IF(D41=Data!$W$7,Data!$QF$1,IF(D41=Data!$W$8,Data!$QF$1,IF(D41=Data!$W$9,Data!$QF$1,IF(D41=Data!$W$10,Data!$QE$1,IF(D41=Data!$W$11,Data!$QF$1,IF(D41=Data!$W$12,Data!$QF$1,IF(D41=Data!$W$13,Data!$QF$1,IF(D41=Data!$W$14,Data!$QF$1,IF(D41=Data!$W$15,Data!$QF$1,IF(D41=Data!$W$16,Data!$QF$1))))))))))))))</f>
        <v>RollerBracketType2</v>
      </c>
      <c r="AV41" s="40" t="e">
        <f>IF(AND(G41&lt;2130, OR(#REF!&lt;2100)),Data!$KS$1,Data!$KT$1)</f>
        <v>#REF!</v>
      </c>
      <c r="AW41" s="172" t="e">
        <f>MATCH(#REF!,Data!$LA$1:$LD$1,0)</f>
        <v>#REF!</v>
      </c>
      <c r="AX41" s="172" t="e">
        <f>MATCH('Panel Glide Blinds'!AV41,Data!$KZ$2:$KZ$3,0)</f>
        <v>#REF!</v>
      </c>
      <c r="AY41" s="172" t="e">
        <f>INDEX(Data!$LA$2:$LD$3,'Panel Glide Blinds'!AX41,'Panel Glide Blinds'!AW41)</f>
        <v>#REF!</v>
      </c>
      <c r="BB41" s="172" t="e">
        <f>IF(#REF!=Data!$QK$2,Data!$QL$1,IF(#REF!=Data!$QK$3,Data!$QM$1,IF(#REF!=Data!$QK$4,Data!$QN$1,IF(#REF!=Data!$QK$5,Data!$QO$1,IF(#REF!=Data!$QK$6,Data!$QP$1,IF(#REF!=Data!$QK$7,Data!$QQ$1,IF(#REF!=Data!$QK$8,Data!$QR$1,IF(#REF!=Data!$QK$9,Data!$QS$1,IF(#REF!=Data!$QK$10,Data!$QT$1,IF(#REF!=Data!$QK$11,Data!$QU$1))))))))))</f>
        <v>#REF!</v>
      </c>
      <c r="BC41" s="33" t="e">
        <f>IF(#REF!=Data!$QK$2,Data!$QL$17,IF(#REF!=Data!$QK$3,Data!$QM$17,IF(#REF!=Data!$QK$4,Data!$QN$17,IF(#REF!=Data!$QK$5,Data!$QO$17,IF(#REF!=Data!$QK$6,Data!$QP$17,IF(#REF!=Data!$QK$7,Data!$QQ$17,IF(#REF!=Data!$QK$8,Data!$QR$17,IF(#REF!=Data!$QK$9,Data!$QS$17,IF(#REF!=Data!$QK$10,Data!$QT$17,IF(#REF!=Data!$QK$11,Data!$QU$17))))))))))</f>
        <v>#REF!</v>
      </c>
      <c r="BD41" s="33" t="e">
        <f>IF(#REF!=Data!$PU$2,Data!$PW$1,IF(#REF!=Data!$PU$3,Data!$PW$1,IF(#REF!=Data!$PU$4,Data!$PV$1,IF(#REF!=Data!$PU$5,Data!$PV$1,))))</f>
        <v>#REF!</v>
      </c>
      <c r="BE41" s="33" t="e">
        <f>MATCH('Panel Glide Blinds'!D41,Data!$AAK$2:$AAK$15)</f>
        <v>#N/A</v>
      </c>
      <c r="BF41" s="33" t="e">
        <f>MATCH(O41,Data!$AAL$1:$AAM$1)</f>
        <v>#N/A</v>
      </c>
      <c r="BG41" s="33" t="e">
        <f>INDEX(Data!$AAL$2:$AAM$15,BE41,BF41)</f>
        <v>#N/A</v>
      </c>
      <c r="BH41" s="33" t="b">
        <f>IF(O41=Data!$ABF$1,Data!$ABD$1,IF(O41=Data!$ABF$2,Data!$ABE$1))</f>
        <v>0</v>
      </c>
      <c r="BI41" s="33" t="e">
        <f>VLOOKUP(H41,Data!$ABL$2:$ABM$8,2,FALSE)</f>
        <v>#N/A</v>
      </c>
      <c r="BJ41" s="172" t="e">
        <f>VLOOKUP(H41,Data!$ABW$2:$ABX$9,2,FALSE)</f>
        <v>#N/A</v>
      </c>
      <c r="BK41" s="172" t="e">
        <f>VLOOKUP(H41,Data!$ABW$2:$ABY$8,3,FALSE)</f>
        <v>#N/A</v>
      </c>
      <c r="BL41" s="172" t="str">
        <f t="shared" si="9"/>
        <v/>
      </c>
      <c r="BM41" s="172" t="str">
        <f t="shared" si="10"/>
        <v/>
      </c>
      <c r="BN41" s="172" t="str">
        <f t="shared" si="4"/>
        <v/>
      </c>
      <c r="BO41" s="33" t="e">
        <f t="shared" si="5"/>
        <v>#DIV/0!</v>
      </c>
      <c r="BP41" s="33" t="e">
        <f t="shared" si="6"/>
        <v>#DIV/0!</v>
      </c>
      <c r="BQ41" s="33" t="e">
        <f t="shared" si="7"/>
        <v>#DIV/0!</v>
      </c>
      <c r="BR41" s="33" t="str">
        <f t="shared" si="8"/>
        <v/>
      </c>
    </row>
    <row r="42" spans="1:70" ht="30" customHeight="1" thickTop="1" thickBot="1">
      <c r="A42" s="52">
        <v>35</v>
      </c>
      <c r="B42" s="13"/>
      <c r="C42" s="13"/>
      <c r="D42" s="19"/>
      <c r="E42" s="15"/>
      <c r="F42" s="14"/>
      <c r="G42" s="14"/>
      <c r="H42" s="14"/>
      <c r="I42" s="13"/>
      <c r="J42" s="14"/>
      <c r="K42" s="14"/>
      <c r="L42" s="525"/>
      <c r="M42" s="526"/>
      <c r="N42" s="15"/>
      <c r="O42" s="15"/>
      <c r="P42" s="15"/>
      <c r="Q42" s="13"/>
      <c r="R42" s="13"/>
      <c r="S42" s="13"/>
      <c r="T42" s="689"/>
      <c r="U42" s="690"/>
      <c r="V42" s="229"/>
      <c r="W42" s="230"/>
      <c r="X42" s="269" t="e">
        <f t="shared" si="2"/>
        <v>#N/A</v>
      </c>
      <c r="Y42" s="269" t="e">
        <f>VLOOKUP(Q42,Data!$QH$2:$QI$4,2,FALSE)</f>
        <v>#N/A</v>
      </c>
      <c r="AA42" s="269" t="e">
        <f t="shared" si="3"/>
        <v>#N/A</v>
      </c>
      <c r="AD42" s="172" t="e">
        <f>IF(#REF!=Data!$KK$2,Data!$KM$1,IF(#REF!=Data!$KK$3,Data!$KN$1,IF(#REF!=Data!$KK$4,Data!$KP$1,IF(#REF!=Data!$KK$5,Data!$KQ$1))))</f>
        <v>#REF!</v>
      </c>
      <c r="AE42" s="33" t="str">
        <f>IF(D42=Data!$W$10,Data!$QJ$1,Data!$QK$1)</f>
        <v>RollerControl</v>
      </c>
      <c r="AH42" s="33" t="b">
        <f>IF(Q42=Data!$PX$2,Data!$PZ$1,IF(Q42=Data!$PX$3,Data!$PY$1,IF(Q42=Data!$PX$4,Data!$QA$1)))</f>
        <v>0</v>
      </c>
      <c r="AJ42" s="33" t="b">
        <f>IF(Q42=Data!$PX$3,Data!$QB$1,IF(Q42=Data!$PX$2,Data!$QC$1,IF(Q42=Data!$PX$4,Data!$QD$1)))</f>
        <v>0</v>
      </c>
      <c r="AL42" s="33" t="str">
        <f>IF(D42=Data!$W$3,Data!$QF$1,IF(D42=Data!$W$4,Data!$QF$1,IF(D42=Data!$W$5,Data!$QF$1,IF(D42=Data!$W$6,Data!$QF$1,IF(D42=Data!$W$7,Data!$QF$1,IF(D42=Data!$W$8,Data!$QF$1,IF(D42=Data!$W$9,Data!$QF$1,IF(D42=Data!$W$10,Data!$QE$1,IF(D42=Data!$W$11,Data!$QF$1,IF(D42=Data!$W$12,Data!$QF$1,IF(D42=Data!$W$13,Data!$QF$1,IF(D42=Data!$W$14,Data!$QF$1,IF(D42=Data!$W$15,Data!$QF$1,IF(D42=Data!$W$16,Data!$QF$1))))))))))))))</f>
        <v>RollerBracketType2</v>
      </c>
      <c r="AV42" s="40" t="e">
        <f>IF(AND(G42&lt;2130, OR(#REF!&lt;2100)),Data!$KS$1,Data!$KT$1)</f>
        <v>#REF!</v>
      </c>
      <c r="AW42" s="172" t="e">
        <f>MATCH(#REF!,Data!$LA$1:$LD$1,0)</f>
        <v>#REF!</v>
      </c>
      <c r="AX42" s="172" t="e">
        <f>MATCH('Panel Glide Blinds'!AV42,Data!$KZ$2:$KZ$3,0)</f>
        <v>#REF!</v>
      </c>
      <c r="AY42" s="172" t="e">
        <f>INDEX(Data!$LA$2:$LD$3,'Panel Glide Blinds'!AX42,'Panel Glide Blinds'!AW42)</f>
        <v>#REF!</v>
      </c>
      <c r="BB42" s="172" t="e">
        <f>IF(#REF!=Data!$QK$2,Data!$QL$1,IF(#REF!=Data!$QK$3,Data!$QM$1,IF(#REF!=Data!$QK$4,Data!$QN$1,IF(#REF!=Data!$QK$5,Data!$QO$1,IF(#REF!=Data!$QK$6,Data!$QP$1,IF(#REF!=Data!$QK$7,Data!$QQ$1,IF(#REF!=Data!$QK$8,Data!$QR$1,IF(#REF!=Data!$QK$9,Data!$QS$1,IF(#REF!=Data!$QK$10,Data!$QT$1,IF(#REF!=Data!$QK$11,Data!$QU$1))))))))))</f>
        <v>#REF!</v>
      </c>
      <c r="BC42" s="33" t="e">
        <f>IF(#REF!=Data!$QK$2,Data!$QL$17,IF(#REF!=Data!$QK$3,Data!$QM$17,IF(#REF!=Data!$QK$4,Data!$QN$17,IF(#REF!=Data!$QK$5,Data!$QO$17,IF(#REF!=Data!$QK$6,Data!$QP$17,IF(#REF!=Data!$QK$7,Data!$QQ$17,IF(#REF!=Data!$QK$8,Data!$QR$17,IF(#REF!=Data!$QK$9,Data!$QS$17,IF(#REF!=Data!$QK$10,Data!$QT$17,IF(#REF!=Data!$QK$11,Data!$QU$17))))))))))</f>
        <v>#REF!</v>
      </c>
      <c r="BD42" s="33" t="e">
        <f>IF(#REF!=Data!$PU$2,Data!$PW$1,IF(#REF!=Data!$PU$3,Data!$PW$1,IF(#REF!=Data!$PU$4,Data!$PV$1,IF(#REF!=Data!$PU$5,Data!$PV$1,))))</f>
        <v>#REF!</v>
      </c>
      <c r="BE42" s="33" t="e">
        <f>MATCH('Panel Glide Blinds'!D42,Data!$AAK$2:$AAK$15)</f>
        <v>#N/A</v>
      </c>
      <c r="BF42" s="33" t="e">
        <f>MATCH(O42,Data!$AAL$1:$AAM$1)</f>
        <v>#N/A</v>
      </c>
      <c r="BG42" s="33" t="e">
        <f>INDEX(Data!$AAL$2:$AAM$15,BE42,BF42)</f>
        <v>#N/A</v>
      </c>
      <c r="BH42" s="33" t="b">
        <f>IF(O42=Data!$ABF$1,Data!$ABD$1,IF(O42=Data!$ABF$2,Data!$ABE$1))</f>
        <v>0</v>
      </c>
      <c r="BI42" s="33" t="e">
        <f>VLOOKUP(H42,Data!$ABL$2:$ABM$8,2,FALSE)</f>
        <v>#N/A</v>
      </c>
      <c r="BJ42" s="172" t="e">
        <f>VLOOKUP(H42,Data!$ABW$2:$ABX$9,2,FALSE)</f>
        <v>#N/A</v>
      </c>
      <c r="BK42" s="172" t="e">
        <f>VLOOKUP(H42,Data!$ABW$2:$ABY$8,3,FALSE)</f>
        <v>#N/A</v>
      </c>
      <c r="BL42" s="172" t="str">
        <f t="shared" si="9"/>
        <v/>
      </c>
      <c r="BM42" s="172" t="str">
        <f t="shared" si="10"/>
        <v/>
      </c>
      <c r="BN42" s="172" t="str">
        <f t="shared" si="4"/>
        <v/>
      </c>
      <c r="BO42" s="33" t="e">
        <f t="shared" si="5"/>
        <v>#DIV/0!</v>
      </c>
      <c r="BP42" s="33" t="e">
        <f t="shared" si="6"/>
        <v>#DIV/0!</v>
      </c>
      <c r="BQ42" s="33" t="e">
        <f t="shared" si="7"/>
        <v>#DIV/0!</v>
      </c>
      <c r="BR42" s="33" t="str">
        <f t="shared" si="8"/>
        <v/>
      </c>
    </row>
    <row r="43" spans="1:70" ht="30" customHeight="1" thickTop="1" thickBot="1">
      <c r="A43" s="52">
        <v>36</v>
      </c>
      <c r="B43" s="13"/>
      <c r="C43" s="13"/>
      <c r="D43" s="19"/>
      <c r="E43" s="15"/>
      <c r="F43" s="14"/>
      <c r="G43" s="14"/>
      <c r="H43" s="14"/>
      <c r="I43" s="13"/>
      <c r="J43" s="14"/>
      <c r="K43" s="14"/>
      <c r="L43" s="525"/>
      <c r="M43" s="526"/>
      <c r="N43" s="15"/>
      <c r="O43" s="15"/>
      <c r="P43" s="15"/>
      <c r="Q43" s="13"/>
      <c r="R43" s="13"/>
      <c r="S43" s="13"/>
      <c r="T43" s="689"/>
      <c r="U43" s="690"/>
      <c r="V43" s="229"/>
      <c r="W43" s="230"/>
      <c r="X43" s="269" t="e">
        <f t="shared" si="2"/>
        <v>#N/A</v>
      </c>
      <c r="Y43" s="269" t="e">
        <f>VLOOKUP(Q43,Data!$QH$2:$QI$4,2,FALSE)</f>
        <v>#N/A</v>
      </c>
      <c r="AA43" s="269" t="e">
        <f t="shared" si="3"/>
        <v>#N/A</v>
      </c>
      <c r="AD43" s="172" t="e">
        <f>IF(#REF!=Data!$KK$2,Data!$KM$1,IF(#REF!=Data!$KK$3,Data!$KN$1,IF(#REF!=Data!$KK$4,Data!$KP$1,IF(#REF!=Data!$KK$5,Data!$KQ$1))))</f>
        <v>#REF!</v>
      </c>
      <c r="AE43" s="33" t="str">
        <f>IF(D43=Data!$W$10,Data!$QJ$1,Data!$QK$1)</f>
        <v>RollerControl</v>
      </c>
      <c r="AH43" s="33" t="b">
        <f>IF(Q43=Data!$PX$2,Data!$PZ$1,IF(Q43=Data!$PX$3,Data!$PY$1,IF(Q43=Data!$PX$4,Data!$QA$1)))</f>
        <v>0</v>
      </c>
      <c r="AJ43" s="33" t="b">
        <f>IF(Q43=Data!$PX$3,Data!$QB$1,IF(Q43=Data!$PX$2,Data!$QC$1,IF(Q43=Data!$PX$4,Data!$QD$1)))</f>
        <v>0</v>
      </c>
      <c r="AL43" s="33" t="str">
        <f>IF(D43=Data!$W$3,Data!$QF$1,IF(D43=Data!$W$4,Data!$QF$1,IF(D43=Data!$W$5,Data!$QF$1,IF(D43=Data!$W$6,Data!$QF$1,IF(D43=Data!$W$7,Data!$QF$1,IF(D43=Data!$W$8,Data!$QF$1,IF(D43=Data!$W$9,Data!$QF$1,IF(D43=Data!$W$10,Data!$QE$1,IF(D43=Data!$W$11,Data!$QF$1,IF(D43=Data!$W$12,Data!$QF$1,IF(D43=Data!$W$13,Data!$QF$1,IF(D43=Data!$W$14,Data!$QF$1,IF(D43=Data!$W$15,Data!$QF$1,IF(D43=Data!$W$16,Data!$QF$1))))))))))))))</f>
        <v>RollerBracketType2</v>
      </c>
      <c r="AV43" s="40" t="e">
        <f>IF(AND(G43&lt;2130, OR(#REF!&lt;2100)),Data!$KS$1,Data!$KT$1)</f>
        <v>#REF!</v>
      </c>
      <c r="AW43" s="172" t="e">
        <f>MATCH(#REF!,Data!$LA$1:$LD$1,0)</f>
        <v>#REF!</v>
      </c>
      <c r="AX43" s="172" t="e">
        <f>MATCH('Panel Glide Blinds'!AV43,Data!$KZ$2:$KZ$3,0)</f>
        <v>#REF!</v>
      </c>
      <c r="AY43" s="172" t="e">
        <f>INDEX(Data!$LA$2:$LD$3,'Panel Glide Blinds'!AX43,'Panel Glide Blinds'!AW43)</f>
        <v>#REF!</v>
      </c>
      <c r="BB43" s="172" t="e">
        <f>IF(#REF!=Data!$QK$2,Data!$QL$1,IF(#REF!=Data!$QK$3,Data!$QM$1,IF(#REF!=Data!$QK$4,Data!$QN$1,IF(#REF!=Data!$QK$5,Data!$QO$1,IF(#REF!=Data!$QK$6,Data!$QP$1,IF(#REF!=Data!$QK$7,Data!$QQ$1,IF(#REF!=Data!$QK$8,Data!$QR$1,IF(#REF!=Data!$QK$9,Data!$QS$1,IF(#REF!=Data!$QK$10,Data!$QT$1,IF(#REF!=Data!$QK$11,Data!$QU$1))))))))))</f>
        <v>#REF!</v>
      </c>
      <c r="BC43" s="33" t="e">
        <f>IF(#REF!=Data!$QK$2,Data!$QL$17,IF(#REF!=Data!$QK$3,Data!$QM$17,IF(#REF!=Data!$QK$4,Data!$QN$17,IF(#REF!=Data!$QK$5,Data!$QO$17,IF(#REF!=Data!$QK$6,Data!$QP$17,IF(#REF!=Data!$QK$7,Data!$QQ$17,IF(#REF!=Data!$QK$8,Data!$QR$17,IF(#REF!=Data!$QK$9,Data!$QS$17,IF(#REF!=Data!$QK$10,Data!$QT$17,IF(#REF!=Data!$QK$11,Data!$QU$17))))))))))</f>
        <v>#REF!</v>
      </c>
      <c r="BD43" s="33" t="e">
        <f>IF(#REF!=Data!$PU$2,Data!$PW$1,IF(#REF!=Data!$PU$3,Data!$PW$1,IF(#REF!=Data!$PU$4,Data!$PV$1,IF(#REF!=Data!$PU$5,Data!$PV$1,))))</f>
        <v>#REF!</v>
      </c>
      <c r="BE43" s="33" t="e">
        <f>MATCH('Panel Glide Blinds'!D43,Data!$AAK$2:$AAK$15)</f>
        <v>#N/A</v>
      </c>
      <c r="BF43" s="33" t="e">
        <f>MATCH(O43,Data!$AAL$1:$AAM$1)</f>
        <v>#N/A</v>
      </c>
      <c r="BG43" s="33" t="e">
        <f>INDEX(Data!$AAL$2:$AAM$15,BE43,BF43)</f>
        <v>#N/A</v>
      </c>
      <c r="BH43" s="33" t="b">
        <f>IF(O43=Data!$ABF$1,Data!$ABD$1,IF(O43=Data!$ABF$2,Data!$ABE$1))</f>
        <v>0</v>
      </c>
      <c r="BI43" s="33" t="e">
        <f>VLOOKUP(H43,Data!$ABL$2:$ABM$8,2,FALSE)</f>
        <v>#N/A</v>
      </c>
      <c r="BJ43" s="172" t="e">
        <f>VLOOKUP(H43,Data!$ABW$2:$ABX$9,2,FALSE)</f>
        <v>#N/A</v>
      </c>
      <c r="BK43" s="172" t="e">
        <f>VLOOKUP(H43,Data!$ABW$2:$ABY$8,3,FALSE)</f>
        <v>#N/A</v>
      </c>
      <c r="BL43" s="172" t="str">
        <f t="shared" si="9"/>
        <v/>
      </c>
      <c r="BM43" s="172" t="str">
        <f t="shared" si="10"/>
        <v/>
      </c>
      <c r="BN43" s="172" t="str">
        <f t="shared" si="4"/>
        <v/>
      </c>
      <c r="BO43" s="33" t="e">
        <f t="shared" si="5"/>
        <v>#DIV/0!</v>
      </c>
      <c r="BP43" s="33" t="e">
        <f t="shared" si="6"/>
        <v>#DIV/0!</v>
      </c>
      <c r="BQ43" s="33" t="e">
        <f t="shared" si="7"/>
        <v>#DIV/0!</v>
      </c>
      <c r="BR43" s="33" t="str">
        <f t="shared" si="8"/>
        <v/>
      </c>
    </row>
    <row r="44" spans="1:70" ht="30" customHeight="1" thickTop="1" thickBot="1">
      <c r="A44" s="52">
        <v>37</v>
      </c>
      <c r="B44" s="13"/>
      <c r="C44" s="13"/>
      <c r="D44" s="19"/>
      <c r="E44" s="15"/>
      <c r="F44" s="14"/>
      <c r="G44" s="14"/>
      <c r="H44" s="14"/>
      <c r="I44" s="13"/>
      <c r="J44" s="14"/>
      <c r="K44" s="14"/>
      <c r="L44" s="525"/>
      <c r="M44" s="526"/>
      <c r="N44" s="15"/>
      <c r="O44" s="15"/>
      <c r="P44" s="15"/>
      <c r="Q44" s="13"/>
      <c r="R44" s="13"/>
      <c r="S44" s="13"/>
      <c r="T44" s="689"/>
      <c r="U44" s="690"/>
      <c r="V44" s="229"/>
      <c r="W44" s="230"/>
      <c r="X44" s="269" t="e">
        <f t="shared" si="2"/>
        <v>#N/A</v>
      </c>
      <c r="Y44" s="269" t="e">
        <f>VLOOKUP(Q44,Data!$QH$2:$QI$4,2,FALSE)</f>
        <v>#N/A</v>
      </c>
      <c r="AA44" s="269" t="e">
        <f t="shared" si="3"/>
        <v>#N/A</v>
      </c>
      <c r="AD44" s="172" t="e">
        <f>IF(#REF!=Data!$KK$2,Data!$KM$1,IF(#REF!=Data!$KK$3,Data!$KN$1,IF(#REF!=Data!$KK$4,Data!$KP$1,IF(#REF!=Data!$KK$5,Data!$KQ$1))))</f>
        <v>#REF!</v>
      </c>
      <c r="AE44" s="33" t="str">
        <f>IF(D44=Data!$W$10,Data!$QJ$1,Data!$QK$1)</f>
        <v>RollerControl</v>
      </c>
      <c r="AH44" s="33" t="b">
        <f>IF(Q44=Data!$PX$2,Data!$PZ$1,IF(Q44=Data!$PX$3,Data!$PY$1,IF(Q44=Data!$PX$4,Data!$QA$1)))</f>
        <v>0</v>
      </c>
      <c r="AJ44" s="33" t="b">
        <f>IF(Q44=Data!$PX$3,Data!$QB$1,IF(Q44=Data!$PX$2,Data!$QC$1,IF(Q44=Data!$PX$4,Data!$QD$1)))</f>
        <v>0</v>
      </c>
      <c r="AL44" s="33" t="str">
        <f>IF(D44=Data!$W$3,Data!$QF$1,IF(D44=Data!$W$4,Data!$QF$1,IF(D44=Data!$W$5,Data!$QF$1,IF(D44=Data!$W$6,Data!$QF$1,IF(D44=Data!$W$7,Data!$QF$1,IF(D44=Data!$W$8,Data!$QF$1,IF(D44=Data!$W$9,Data!$QF$1,IF(D44=Data!$W$10,Data!$QE$1,IF(D44=Data!$W$11,Data!$QF$1,IF(D44=Data!$W$12,Data!$QF$1,IF(D44=Data!$W$13,Data!$QF$1,IF(D44=Data!$W$14,Data!$QF$1,IF(D44=Data!$W$15,Data!$QF$1,IF(D44=Data!$W$16,Data!$QF$1))))))))))))))</f>
        <v>RollerBracketType2</v>
      </c>
      <c r="AV44" s="40" t="e">
        <f>IF(AND(G44&lt;2130, OR(#REF!&lt;2100)),Data!$KS$1,Data!$KT$1)</f>
        <v>#REF!</v>
      </c>
      <c r="AW44" s="172" t="e">
        <f>MATCH(#REF!,Data!$LA$1:$LD$1,0)</f>
        <v>#REF!</v>
      </c>
      <c r="AX44" s="172" t="e">
        <f>MATCH('Panel Glide Blinds'!AV44,Data!$KZ$2:$KZ$3,0)</f>
        <v>#REF!</v>
      </c>
      <c r="AY44" s="172" t="e">
        <f>INDEX(Data!$LA$2:$LD$3,'Panel Glide Blinds'!AX44,'Panel Glide Blinds'!AW44)</f>
        <v>#REF!</v>
      </c>
      <c r="BB44" s="172" t="e">
        <f>IF(#REF!=Data!$QK$2,Data!$QL$1,IF(#REF!=Data!$QK$3,Data!$QM$1,IF(#REF!=Data!$QK$4,Data!$QN$1,IF(#REF!=Data!$QK$5,Data!$QO$1,IF(#REF!=Data!$QK$6,Data!$QP$1,IF(#REF!=Data!$QK$7,Data!$QQ$1,IF(#REF!=Data!$QK$8,Data!$QR$1,IF(#REF!=Data!$QK$9,Data!$QS$1,IF(#REF!=Data!$QK$10,Data!$QT$1,IF(#REF!=Data!$QK$11,Data!$QU$1))))))))))</f>
        <v>#REF!</v>
      </c>
      <c r="BC44" s="33" t="e">
        <f>IF(#REF!=Data!$QK$2,Data!$QL$17,IF(#REF!=Data!$QK$3,Data!$QM$17,IF(#REF!=Data!$QK$4,Data!$QN$17,IF(#REF!=Data!$QK$5,Data!$QO$17,IF(#REF!=Data!$QK$6,Data!$QP$17,IF(#REF!=Data!$QK$7,Data!$QQ$17,IF(#REF!=Data!$QK$8,Data!$QR$17,IF(#REF!=Data!$QK$9,Data!$QS$17,IF(#REF!=Data!$QK$10,Data!$QT$17,IF(#REF!=Data!$QK$11,Data!$QU$17))))))))))</f>
        <v>#REF!</v>
      </c>
      <c r="BD44" s="33" t="e">
        <f>IF(#REF!=Data!$PU$2,Data!$PW$1,IF(#REF!=Data!$PU$3,Data!$PW$1,IF(#REF!=Data!$PU$4,Data!$PV$1,IF(#REF!=Data!$PU$5,Data!$PV$1,))))</f>
        <v>#REF!</v>
      </c>
      <c r="BE44" s="33" t="e">
        <f>MATCH('Panel Glide Blinds'!D44,Data!$AAK$2:$AAK$15)</f>
        <v>#N/A</v>
      </c>
      <c r="BF44" s="33" t="e">
        <f>MATCH(O44,Data!$AAL$1:$AAM$1)</f>
        <v>#N/A</v>
      </c>
      <c r="BG44" s="33" t="e">
        <f>INDEX(Data!$AAL$2:$AAM$15,BE44,BF44)</f>
        <v>#N/A</v>
      </c>
      <c r="BH44" s="33" t="b">
        <f>IF(O44=Data!$ABF$1,Data!$ABD$1,IF(O44=Data!$ABF$2,Data!$ABE$1))</f>
        <v>0</v>
      </c>
      <c r="BI44" s="33" t="e">
        <f>VLOOKUP(H44,Data!$ABL$2:$ABM$8,2,FALSE)</f>
        <v>#N/A</v>
      </c>
      <c r="BJ44" s="172" t="e">
        <f>VLOOKUP(H44,Data!$ABW$2:$ABX$9,2,FALSE)</f>
        <v>#N/A</v>
      </c>
      <c r="BK44" s="172" t="e">
        <f>VLOOKUP(H44,Data!$ABW$2:$ABY$8,3,FALSE)</f>
        <v>#N/A</v>
      </c>
      <c r="BL44" s="172" t="str">
        <f t="shared" si="9"/>
        <v/>
      </c>
      <c r="BM44" s="172" t="str">
        <f t="shared" si="10"/>
        <v/>
      </c>
      <c r="BN44" s="172" t="str">
        <f t="shared" si="4"/>
        <v/>
      </c>
      <c r="BO44" s="33" t="e">
        <f t="shared" si="5"/>
        <v>#DIV/0!</v>
      </c>
      <c r="BP44" s="33" t="e">
        <f t="shared" si="6"/>
        <v>#DIV/0!</v>
      </c>
      <c r="BQ44" s="33" t="e">
        <f t="shared" si="7"/>
        <v>#DIV/0!</v>
      </c>
      <c r="BR44" s="33" t="str">
        <f t="shared" si="8"/>
        <v/>
      </c>
    </row>
    <row r="45" spans="1:70" ht="30" customHeight="1" thickTop="1" thickBot="1">
      <c r="A45" s="52">
        <v>38</v>
      </c>
      <c r="B45" s="13"/>
      <c r="C45" s="13"/>
      <c r="D45" s="19"/>
      <c r="E45" s="15"/>
      <c r="F45" s="14"/>
      <c r="G45" s="14"/>
      <c r="H45" s="14"/>
      <c r="I45" s="13"/>
      <c r="J45" s="14"/>
      <c r="K45" s="14"/>
      <c r="L45" s="525"/>
      <c r="M45" s="526"/>
      <c r="N45" s="15"/>
      <c r="O45" s="15"/>
      <c r="P45" s="15"/>
      <c r="Q45" s="13"/>
      <c r="R45" s="13"/>
      <c r="S45" s="13"/>
      <c r="T45" s="689"/>
      <c r="U45" s="690"/>
      <c r="V45" s="229"/>
      <c r="W45" s="230"/>
      <c r="X45" s="269" t="e">
        <f t="shared" si="2"/>
        <v>#N/A</v>
      </c>
      <c r="Y45" s="269" t="e">
        <f>VLOOKUP(Q45,Data!$QH$2:$QI$4,2,FALSE)</f>
        <v>#N/A</v>
      </c>
      <c r="AA45" s="269" t="e">
        <f t="shared" si="3"/>
        <v>#N/A</v>
      </c>
      <c r="AD45" s="172" t="e">
        <f>IF(#REF!=Data!$KK$2,Data!$KM$1,IF(#REF!=Data!$KK$3,Data!$KN$1,IF(#REF!=Data!$KK$4,Data!$KP$1,IF(#REF!=Data!$KK$5,Data!$KQ$1))))</f>
        <v>#REF!</v>
      </c>
      <c r="AE45" s="33" t="str">
        <f>IF(D45=Data!$W$10,Data!$QJ$1,Data!$QK$1)</f>
        <v>RollerControl</v>
      </c>
      <c r="AH45" s="33" t="b">
        <f>IF(Q45=Data!$PX$2,Data!$PZ$1,IF(Q45=Data!$PX$3,Data!$PY$1,IF(Q45=Data!$PX$4,Data!$QA$1)))</f>
        <v>0</v>
      </c>
      <c r="AJ45" s="33" t="b">
        <f>IF(Q45=Data!$PX$3,Data!$QB$1,IF(Q45=Data!$PX$2,Data!$QC$1,IF(Q45=Data!$PX$4,Data!$QD$1)))</f>
        <v>0</v>
      </c>
      <c r="AL45" s="33" t="str">
        <f>IF(D45=Data!$W$3,Data!$QF$1,IF(D45=Data!$W$4,Data!$QF$1,IF(D45=Data!$W$5,Data!$QF$1,IF(D45=Data!$W$6,Data!$QF$1,IF(D45=Data!$W$7,Data!$QF$1,IF(D45=Data!$W$8,Data!$QF$1,IF(D45=Data!$W$9,Data!$QF$1,IF(D45=Data!$W$10,Data!$QE$1,IF(D45=Data!$W$11,Data!$QF$1,IF(D45=Data!$W$12,Data!$QF$1,IF(D45=Data!$W$13,Data!$QF$1,IF(D45=Data!$W$14,Data!$QF$1,IF(D45=Data!$W$15,Data!$QF$1,IF(D45=Data!$W$16,Data!$QF$1))))))))))))))</f>
        <v>RollerBracketType2</v>
      </c>
      <c r="AV45" s="40" t="e">
        <f>IF(AND(G45&lt;2130, OR(#REF!&lt;2100)),Data!$KS$1,Data!$KT$1)</f>
        <v>#REF!</v>
      </c>
      <c r="AW45" s="172" t="e">
        <f>MATCH(#REF!,Data!$LA$1:$LD$1,0)</f>
        <v>#REF!</v>
      </c>
      <c r="AX45" s="172" t="e">
        <f>MATCH('Panel Glide Blinds'!AV45,Data!$KZ$2:$KZ$3,0)</f>
        <v>#REF!</v>
      </c>
      <c r="AY45" s="172" t="e">
        <f>INDEX(Data!$LA$2:$LD$3,'Panel Glide Blinds'!AX45,'Panel Glide Blinds'!AW45)</f>
        <v>#REF!</v>
      </c>
      <c r="BB45" s="172" t="e">
        <f>IF(#REF!=Data!$QK$2,Data!$QL$1,IF(#REF!=Data!$QK$3,Data!$QM$1,IF(#REF!=Data!$QK$4,Data!$QN$1,IF(#REF!=Data!$QK$5,Data!$QO$1,IF(#REF!=Data!$QK$6,Data!$QP$1,IF(#REF!=Data!$QK$7,Data!$QQ$1,IF(#REF!=Data!$QK$8,Data!$QR$1,IF(#REF!=Data!$QK$9,Data!$QS$1,IF(#REF!=Data!$QK$10,Data!$QT$1,IF(#REF!=Data!$QK$11,Data!$QU$1))))))))))</f>
        <v>#REF!</v>
      </c>
      <c r="BC45" s="33" t="e">
        <f>IF(#REF!=Data!$QK$2,Data!$QL$17,IF(#REF!=Data!$QK$3,Data!$QM$17,IF(#REF!=Data!$QK$4,Data!$QN$17,IF(#REF!=Data!$QK$5,Data!$QO$17,IF(#REF!=Data!$QK$6,Data!$QP$17,IF(#REF!=Data!$QK$7,Data!$QQ$17,IF(#REF!=Data!$QK$8,Data!$QR$17,IF(#REF!=Data!$QK$9,Data!$QS$17,IF(#REF!=Data!$QK$10,Data!$QT$17,IF(#REF!=Data!$QK$11,Data!$QU$17))))))))))</f>
        <v>#REF!</v>
      </c>
      <c r="BD45" s="33" t="e">
        <f>IF(#REF!=Data!$PU$2,Data!$PW$1,IF(#REF!=Data!$PU$3,Data!$PW$1,IF(#REF!=Data!$PU$4,Data!$PV$1,IF(#REF!=Data!$PU$5,Data!$PV$1,))))</f>
        <v>#REF!</v>
      </c>
      <c r="BE45" s="33" t="e">
        <f>MATCH('Panel Glide Blinds'!D45,Data!$AAK$2:$AAK$15)</f>
        <v>#N/A</v>
      </c>
      <c r="BF45" s="33" t="e">
        <f>MATCH(O45,Data!$AAL$1:$AAM$1)</f>
        <v>#N/A</v>
      </c>
      <c r="BG45" s="33" t="e">
        <f>INDEX(Data!$AAL$2:$AAM$15,BE45,BF45)</f>
        <v>#N/A</v>
      </c>
      <c r="BH45" s="33" t="b">
        <f>IF(O45=Data!$ABF$1,Data!$ABD$1,IF(O45=Data!$ABF$2,Data!$ABE$1))</f>
        <v>0</v>
      </c>
      <c r="BI45" s="33" t="e">
        <f>VLOOKUP(H45,Data!$ABL$2:$ABM$8,2,FALSE)</f>
        <v>#N/A</v>
      </c>
      <c r="BJ45" s="172" t="e">
        <f>VLOOKUP(H45,Data!$ABW$2:$ABX$9,2,FALSE)</f>
        <v>#N/A</v>
      </c>
      <c r="BK45" s="172" t="e">
        <f>VLOOKUP(H45,Data!$ABW$2:$ABY$8,3,FALSE)</f>
        <v>#N/A</v>
      </c>
      <c r="BL45" s="172" t="str">
        <f t="shared" si="9"/>
        <v/>
      </c>
      <c r="BM45" s="172" t="str">
        <f t="shared" si="10"/>
        <v/>
      </c>
      <c r="BN45" s="172" t="str">
        <f t="shared" si="4"/>
        <v/>
      </c>
      <c r="BO45" s="33" t="e">
        <f t="shared" si="5"/>
        <v>#DIV/0!</v>
      </c>
      <c r="BP45" s="33" t="e">
        <f t="shared" si="6"/>
        <v>#DIV/0!</v>
      </c>
      <c r="BQ45" s="33" t="e">
        <f t="shared" si="7"/>
        <v>#DIV/0!</v>
      </c>
      <c r="BR45" s="33" t="str">
        <f t="shared" si="8"/>
        <v/>
      </c>
    </row>
    <row r="46" spans="1:70" ht="30" customHeight="1" thickTop="1" thickBot="1">
      <c r="A46" s="52">
        <v>39</v>
      </c>
      <c r="B46" s="13"/>
      <c r="C46" s="13"/>
      <c r="D46" s="19"/>
      <c r="E46" s="15"/>
      <c r="F46" s="14"/>
      <c r="G46" s="14"/>
      <c r="H46" s="14"/>
      <c r="I46" s="13"/>
      <c r="J46" s="14"/>
      <c r="K46" s="14"/>
      <c r="L46" s="525"/>
      <c r="M46" s="526"/>
      <c r="N46" s="15"/>
      <c r="O46" s="15"/>
      <c r="P46" s="15"/>
      <c r="Q46" s="13"/>
      <c r="R46" s="13"/>
      <c r="S46" s="13"/>
      <c r="T46" s="689"/>
      <c r="U46" s="690"/>
      <c r="V46" s="229"/>
      <c r="W46" s="230"/>
      <c r="X46" s="269" t="e">
        <f t="shared" si="2"/>
        <v>#N/A</v>
      </c>
      <c r="Y46" s="269" t="e">
        <f>VLOOKUP(Q46,Data!$QH$2:$QI$4,2,FALSE)</f>
        <v>#N/A</v>
      </c>
      <c r="AA46" s="269" t="e">
        <f t="shared" si="3"/>
        <v>#N/A</v>
      </c>
      <c r="AD46" s="172" t="e">
        <f>IF(#REF!=Data!$KK$2,Data!$KM$1,IF(#REF!=Data!$KK$3,Data!$KN$1,IF(#REF!=Data!$KK$4,Data!$KP$1,IF(#REF!=Data!$KK$5,Data!$KQ$1))))</f>
        <v>#REF!</v>
      </c>
      <c r="AE46" s="33" t="str">
        <f>IF(D46=Data!$W$10,Data!$QJ$1,Data!$QK$1)</f>
        <v>RollerControl</v>
      </c>
      <c r="AH46" s="33" t="b">
        <f>IF(Q46=Data!$PX$2,Data!$PZ$1,IF(Q46=Data!$PX$3,Data!$PY$1,IF(Q46=Data!$PX$4,Data!$QA$1)))</f>
        <v>0</v>
      </c>
      <c r="AJ46" s="33" t="b">
        <f>IF(Q46=Data!$PX$3,Data!$QB$1,IF(Q46=Data!$PX$2,Data!$QC$1,IF(Q46=Data!$PX$4,Data!$QD$1)))</f>
        <v>0</v>
      </c>
      <c r="AL46" s="33" t="str">
        <f>IF(D46=Data!$W$3,Data!$QF$1,IF(D46=Data!$W$4,Data!$QF$1,IF(D46=Data!$W$5,Data!$QF$1,IF(D46=Data!$W$6,Data!$QF$1,IF(D46=Data!$W$7,Data!$QF$1,IF(D46=Data!$W$8,Data!$QF$1,IF(D46=Data!$W$9,Data!$QF$1,IF(D46=Data!$W$10,Data!$QE$1,IF(D46=Data!$W$11,Data!$QF$1,IF(D46=Data!$W$12,Data!$QF$1,IF(D46=Data!$W$13,Data!$QF$1,IF(D46=Data!$W$14,Data!$QF$1,IF(D46=Data!$W$15,Data!$QF$1,IF(D46=Data!$W$16,Data!$QF$1))))))))))))))</f>
        <v>RollerBracketType2</v>
      </c>
      <c r="AV46" s="40" t="e">
        <f>IF(AND(G46&lt;2130, OR(#REF!&lt;2100)),Data!$KS$1,Data!$KT$1)</f>
        <v>#REF!</v>
      </c>
      <c r="AW46" s="172" t="e">
        <f>MATCH(#REF!,Data!$LA$1:$LD$1,0)</f>
        <v>#REF!</v>
      </c>
      <c r="AX46" s="172" t="e">
        <f>MATCH('Panel Glide Blinds'!AV46,Data!$KZ$2:$KZ$3,0)</f>
        <v>#REF!</v>
      </c>
      <c r="AY46" s="172" t="e">
        <f>INDEX(Data!$LA$2:$LD$3,'Panel Glide Blinds'!AX46,'Panel Glide Blinds'!AW46)</f>
        <v>#REF!</v>
      </c>
      <c r="BB46" s="172" t="e">
        <f>IF(#REF!=Data!$QK$2,Data!$QL$1,IF(#REF!=Data!$QK$3,Data!$QM$1,IF(#REF!=Data!$QK$4,Data!$QN$1,IF(#REF!=Data!$QK$5,Data!$QO$1,IF(#REF!=Data!$QK$6,Data!$QP$1,IF(#REF!=Data!$QK$7,Data!$QQ$1,IF(#REF!=Data!$QK$8,Data!$QR$1,IF(#REF!=Data!$QK$9,Data!$QS$1,IF(#REF!=Data!$QK$10,Data!$QT$1,IF(#REF!=Data!$QK$11,Data!$QU$1))))))))))</f>
        <v>#REF!</v>
      </c>
      <c r="BC46" s="33" t="e">
        <f>IF(#REF!=Data!$QK$2,Data!$QL$17,IF(#REF!=Data!$QK$3,Data!$QM$17,IF(#REF!=Data!$QK$4,Data!$QN$17,IF(#REF!=Data!$QK$5,Data!$QO$17,IF(#REF!=Data!$QK$6,Data!$QP$17,IF(#REF!=Data!$QK$7,Data!$QQ$17,IF(#REF!=Data!$QK$8,Data!$QR$17,IF(#REF!=Data!$QK$9,Data!$QS$17,IF(#REF!=Data!$QK$10,Data!$QT$17,IF(#REF!=Data!$QK$11,Data!$QU$17))))))))))</f>
        <v>#REF!</v>
      </c>
      <c r="BD46" s="33" t="e">
        <f>IF(#REF!=Data!$PU$2,Data!$PW$1,IF(#REF!=Data!$PU$3,Data!$PW$1,IF(#REF!=Data!$PU$4,Data!$PV$1,IF(#REF!=Data!$PU$5,Data!$PV$1,))))</f>
        <v>#REF!</v>
      </c>
      <c r="BE46" s="33" t="e">
        <f>MATCH('Panel Glide Blinds'!D46,Data!$AAK$2:$AAK$15)</f>
        <v>#N/A</v>
      </c>
      <c r="BF46" s="33" t="e">
        <f>MATCH(O46,Data!$AAL$1:$AAM$1)</f>
        <v>#N/A</v>
      </c>
      <c r="BG46" s="33" t="e">
        <f>INDEX(Data!$AAL$2:$AAM$15,BE46,BF46)</f>
        <v>#N/A</v>
      </c>
      <c r="BH46" s="33" t="b">
        <f>IF(O46=Data!$ABF$1,Data!$ABD$1,IF(O46=Data!$ABF$2,Data!$ABE$1))</f>
        <v>0</v>
      </c>
      <c r="BI46" s="33" t="e">
        <f>VLOOKUP(H46,Data!$ABL$2:$ABM$8,2,FALSE)</f>
        <v>#N/A</v>
      </c>
      <c r="BJ46" s="172" t="e">
        <f>VLOOKUP(H46,Data!$ABW$2:$ABX$9,2,FALSE)</f>
        <v>#N/A</v>
      </c>
      <c r="BK46" s="172" t="e">
        <f>VLOOKUP(H46,Data!$ABW$2:$ABY$8,3,FALSE)</f>
        <v>#N/A</v>
      </c>
      <c r="BL46" s="172" t="str">
        <f t="shared" si="9"/>
        <v/>
      </c>
      <c r="BM46" s="172" t="str">
        <f t="shared" si="10"/>
        <v/>
      </c>
      <c r="BN46" s="172" t="str">
        <f t="shared" si="4"/>
        <v/>
      </c>
      <c r="BO46" s="33" t="e">
        <f t="shared" si="5"/>
        <v>#DIV/0!</v>
      </c>
      <c r="BP46" s="33" t="e">
        <f t="shared" si="6"/>
        <v>#DIV/0!</v>
      </c>
      <c r="BQ46" s="33" t="e">
        <f t="shared" si="7"/>
        <v>#DIV/0!</v>
      </c>
      <c r="BR46" s="33" t="str">
        <f t="shared" si="8"/>
        <v/>
      </c>
    </row>
    <row r="47" spans="1:70" ht="30" customHeight="1" thickTop="1" thickBot="1">
      <c r="A47" s="52">
        <v>40</v>
      </c>
      <c r="B47" s="13"/>
      <c r="C47" s="13"/>
      <c r="D47" s="19"/>
      <c r="E47" s="15"/>
      <c r="F47" s="14"/>
      <c r="G47" s="14"/>
      <c r="H47" s="14"/>
      <c r="I47" s="13"/>
      <c r="J47" s="14"/>
      <c r="K47" s="14"/>
      <c r="L47" s="525"/>
      <c r="M47" s="526"/>
      <c r="N47" s="15"/>
      <c r="O47" s="15"/>
      <c r="P47" s="15"/>
      <c r="Q47" s="13"/>
      <c r="R47" s="13"/>
      <c r="S47" s="13"/>
      <c r="T47" s="689"/>
      <c r="U47" s="690"/>
      <c r="V47" s="229"/>
      <c r="W47" s="230"/>
      <c r="X47" s="269" t="e">
        <f t="shared" si="2"/>
        <v>#N/A</v>
      </c>
      <c r="Y47" s="269" t="e">
        <f>VLOOKUP(Q47,Data!$QH$2:$QI$4,2,FALSE)</f>
        <v>#N/A</v>
      </c>
      <c r="AA47" s="269" t="e">
        <f t="shared" si="3"/>
        <v>#N/A</v>
      </c>
      <c r="AD47" s="172" t="e">
        <f>IF(#REF!=Data!$KK$2,Data!$KM$1,IF(#REF!=Data!$KK$3,Data!$KN$1,IF(#REF!=Data!$KK$4,Data!$KP$1,IF(#REF!=Data!$KK$5,Data!$KQ$1))))</f>
        <v>#REF!</v>
      </c>
      <c r="AE47" s="33" t="str">
        <f>IF(D47=Data!$W$10,Data!$QJ$1,Data!$QK$1)</f>
        <v>RollerControl</v>
      </c>
      <c r="AH47" s="33" t="b">
        <f>IF(Q47=Data!$PX$2,Data!$PZ$1,IF(Q47=Data!$PX$3,Data!$PY$1,IF(Q47=Data!$PX$4,Data!$QA$1)))</f>
        <v>0</v>
      </c>
      <c r="AJ47" s="33" t="b">
        <f>IF(Q47=Data!$PX$3,Data!$QB$1,IF(Q47=Data!$PX$2,Data!$QC$1,IF(Q47=Data!$PX$4,Data!$QD$1)))</f>
        <v>0</v>
      </c>
      <c r="AL47" s="33" t="str">
        <f>IF(D47=Data!$W$3,Data!$QF$1,IF(D47=Data!$W$4,Data!$QF$1,IF(D47=Data!$W$5,Data!$QF$1,IF(D47=Data!$W$6,Data!$QF$1,IF(D47=Data!$W$7,Data!$QF$1,IF(D47=Data!$W$8,Data!$QF$1,IF(D47=Data!$W$9,Data!$QF$1,IF(D47=Data!$W$10,Data!$QE$1,IF(D47=Data!$W$11,Data!$QF$1,IF(D47=Data!$W$12,Data!$QF$1,IF(D47=Data!$W$13,Data!$QF$1,IF(D47=Data!$W$14,Data!$QF$1,IF(D47=Data!$W$15,Data!$QF$1,IF(D47=Data!$W$16,Data!$QF$1))))))))))))))</f>
        <v>RollerBracketType2</v>
      </c>
      <c r="AV47" s="40" t="e">
        <f>IF(AND(G47&lt;2130, OR(#REF!&lt;2100)),Data!$KS$1,Data!$KT$1)</f>
        <v>#REF!</v>
      </c>
      <c r="AW47" s="172" t="e">
        <f>MATCH(#REF!,Data!$LA$1:$LD$1,0)</f>
        <v>#REF!</v>
      </c>
      <c r="AX47" s="172" t="e">
        <f>MATCH('Panel Glide Blinds'!AV47,Data!$KZ$2:$KZ$3,0)</f>
        <v>#REF!</v>
      </c>
      <c r="AY47" s="172" t="e">
        <f>INDEX(Data!$LA$2:$LD$3,'Panel Glide Blinds'!AX47,'Panel Glide Blinds'!AW47)</f>
        <v>#REF!</v>
      </c>
      <c r="BB47" s="172" t="e">
        <f>IF(#REF!=Data!$QK$2,Data!$QL$1,IF(#REF!=Data!$QK$3,Data!$QM$1,IF(#REF!=Data!$QK$4,Data!$QN$1,IF(#REF!=Data!$QK$5,Data!$QO$1,IF(#REF!=Data!$QK$6,Data!$QP$1,IF(#REF!=Data!$QK$7,Data!$QQ$1,IF(#REF!=Data!$QK$8,Data!$QR$1,IF(#REF!=Data!$QK$9,Data!$QS$1,IF(#REF!=Data!$QK$10,Data!$QT$1,IF(#REF!=Data!$QK$11,Data!$QU$1))))))))))</f>
        <v>#REF!</v>
      </c>
      <c r="BC47" s="33" t="e">
        <f>IF(#REF!=Data!$QK$2,Data!$QL$17,IF(#REF!=Data!$QK$3,Data!$QM$17,IF(#REF!=Data!$QK$4,Data!$QN$17,IF(#REF!=Data!$QK$5,Data!$QO$17,IF(#REF!=Data!$QK$6,Data!$QP$17,IF(#REF!=Data!$QK$7,Data!$QQ$17,IF(#REF!=Data!$QK$8,Data!$QR$17,IF(#REF!=Data!$QK$9,Data!$QS$17,IF(#REF!=Data!$QK$10,Data!$QT$17,IF(#REF!=Data!$QK$11,Data!$QU$17))))))))))</f>
        <v>#REF!</v>
      </c>
      <c r="BD47" s="33" t="e">
        <f>IF(#REF!=Data!$PU$2,Data!$PW$1,IF(#REF!=Data!$PU$3,Data!$PW$1,IF(#REF!=Data!$PU$4,Data!$PV$1,IF(#REF!=Data!$PU$5,Data!$PV$1,))))</f>
        <v>#REF!</v>
      </c>
      <c r="BE47" s="33" t="e">
        <f>MATCH('Panel Glide Blinds'!D47,Data!$AAK$2:$AAK$15)</f>
        <v>#N/A</v>
      </c>
      <c r="BF47" s="33" t="e">
        <f>MATCH(O47,Data!$AAL$1:$AAM$1)</f>
        <v>#N/A</v>
      </c>
      <c r="BG47" s="33" t="e">
        <f>INDEX(Data!$AAL$2:$AAM$15,BE47,BF47)</f>
        <v>#N/A</v>
      </c>
      <c r="BH47" s="33" t="b">
        <f>IF(O47=Data!$ABF$1,Data!$ABD$1,IF(O47=Data!$ABF$2,Data!$ABE$1))</f>
        <v>0</v>
      </c>
      <c r="BI47" s="33" t="e">
        <f>VLOOKUP(H47,Data!$ABL$2:$ABM$8,2,FALSE)</f>
        <v>#N/A</v>
      </c>
      <c r="BJ47" s="172" t="e">
        <f>VLOOKUP(H47,Data!$ABW$2:$ABX$9,2,FALSE)</f>
        <v>#N/A</v>
      </c>
      <c r="BK47" s="172" t="e">
        <f>VLOOKUP(H47,Data!$ABW$2:$ABY$8,3,FALSE)</f>
        <v>#N/A</v>
      </c>
      <c r="BL47" s="172" t="str">
        <f t="shared" si="9"/>
        <v/>
      </c>
      <c r="BM47" s="172" t="str">
        <f t="shared" si="10"/>
        <v/>
      </c>
      <c r="BN47" s="172" t="str">
        <f t="shared" si="4"/>
        <v/>
      </c>
      <c r="BO47" s="33" t="e">
        <f t="shared" si="5"/>
        <v>#DIV/0!</v>
      </c>
      <c r="BP47" s="33" t="e">
        <f t="shared" si="6"/>
        <v>#DIV/0!</v>
      </c>
      <c r="BQ47" s="33" t="e">
        <f t="shared" si="7"/>
        <v>#DIV/0!</v>
      </c>
      <c r="BR47" s="33" t="str">
        <f t="shared" si="8"/>
        <v/>
      </c>
    </row>
    <row r="48" spans="1:70" ht="30" customHeight="1" thickTop="1" thickBot="1">
      <c r="A48" s="52">
        <v>41</v>
      </c>
      <c r="B48" s="13"/>
      <c r="C48" s="13"/>
      <c r="D48" s="19"/>
      <c r="E48" s="15"/>
      <c r="F48" s="14"/>
      <c r="G48" s="14"/>
      <c r="H48" s="14"/>
      <c r="I48" s="13"/>
      <c r="J48" s="14"/>
      <c r="K48" s="14"/>
      <c r="L48" s="525"/>
      <c r="M48" s="526"/>
      <c r="N48" s="15"/>
      <c r="O48" s="15"/>
      <c r="P48" s="15"/>
      <c r="Q48" s="13"/>
      <c r="R48" s="13"/>
      <c r="S48" s="13"/>
      <c r="T48" s="689"/>
      <c r="U48" s="690"/>
      <c r="V48" s="229"/>
      <c r="W48" s="230"/>
      <c r="X48" s="269" t="e">
        <f t="shared" si="2"/>
        <v>#N/A</v>
      </c>
      <c r="Y48" s="269" t="e">
        <f>VLOOKUP(Q48,Data!$QH$2:$QI$4,2,FALSE)</f>
        <v>#N/A</v>
      </c>
      <c r="AA48" s="269" t="e">
        <f t="shared" si="3"/>
        <v>#N/A</v>
      </c>
      <c r="AD48" s="172" t="e">
        <f>IF(#REF!=Data!$KK$2,Data!$KM$1,IF(#REF!=Data!$KK$3,Data!$KN$1,IF(#REF!=Data!$KK$4,Data!$KP$1,IF(#REF!=Data!$KK$5,Data!$KQ$1))))</f>
        <v>#REF!</v>
      </c>
      <c r="AE48" s="33" t="str">
        <f>IF(D48=Data!$W$10,Data!$QJ$1,Data!$QK$1)</f>
        <v>RollerControl</v>
      </c>
      <c r="AH48" s="33" t="b">
        <f>IF(Q48=Data!$PX$2,Data!$PZ$1,IF(Q48=Data!$PX$3,Data!$PY$1,IF(Q48=Data!$PX$4,Data!$QA$1)))</f>
        <v>0</v>
      </c>
      <c r="AJ48" s="33" t="b">
        <f>IF(Q48=Data!$PX$3,Data!$QB$1,IF(Q48=Data!$PX$2,Data!$QC$1,IF(Q48=Data!$PX$4,Data!$QD$1)))</f>
        <v>0</v>
      </c>
      <c r="AL48" s="33" t="str">
        <f>IF(D48=Data!$W$3,Data!$QF$1,IF(D48=Data!$W$4,Data!$QF$1,IF(D48=Data!$W$5,Data!$QF$1,IF(D48=Data!$W$6,Data!$QF$1,IF(D48=Data!$W$7,Data!$QF$1,IF(D48=Data!$W$8,Data!$QF$1,IF(D48=Data!$W$9,Data!$QF$1,IF(D48=Data!$W$10,Data!$QE$1,IF(D48=Data!$W$11,Data!$QF$1,IF(D48=Data!$W$12,Data!$QF$1,IF(D48=Data!$W$13,Data!$QF$1,IF(D48=Data!$W$14,Data!$QF$1,IF(D48=Data!$W$15,Data!$QF$1,IF(D48=Data!$W$16,Data!$QF$1))))))))))))))</f>
        <v>RollerBracketType2</v>
      </c>
      <c r="AV48" s="40" t="e">
        <f>IF(AND(G48&lt;2130, OR(#REF!&lt;2100)),Data!$KS$1,Data!$KT$1)</f>
        <v>#REF!</v>
      </c>
      <c r="AW48" s="172" t="e">
        <f>MATCH(#REF!,Data!$LA$1:$LD$1,0)</f>
        <v>#REF!</v>
      </c>
      <c r="AX48" s="172" t="e">
        <f>MATCH('Panel Glide Blinds'!AV48,Data!$KZ$2:$KZ$3,0)</f>
        <v>#REF!</v>
      </c>
      <c r="AY48" s="172" t="e">
        <f>INDEX(Data!$LA$2:$LD$3,'Panel Glide Blinds'!AX48,'Panel Glide Blinds'!AW48)</f>
        <v>#REF!</v>
      </c>
      <c r="BB48" s="172" t="e">
        <f>IF(#REF!=Data!$QK$2,Data!$QL$1,IF(#REF!=Data!$QK$3,Data!$QM$1,IF(#REF!=Data!$QK$4,Data!$QN$1,IF(#REF!=Data!$QK$5,Data!$QO$1,IF(#REF!=Data!$QK$6,Data!$QP$1,IF(#REF!=Data!$QK$7,Data!$QQ$1,IF(#REF!=Data!$QK$8,Data!$QR$1,IF(#REF!=Data!$QK$9,Data!$QS$1,IF(#REF!=Data!$QK$10,Data!$QT$1,IF(#REF!=Data!$QK$11,Data!$QU$1))))))))))</f>
        <v>#REF!</v>
      </c>
      <c r="BC48" s="33" t="e">
        <f>IF(#REF!=Data!$QK$2,Data!$QL$17,IF(#REF!=Data!$QK$3,Data!$QM$17,IF(#REF!=Data!$QK$4,Data!$QN$17,IF(#REF!=Data!$QK$5,Data!$QO$17,IF(#REF!=Data!$QK$6,Data!$QP$17,IF(#REF!=Data!$QK$7,Data!$QQ$17,IF(#REF!=Data!$QK$8,Data!$QR$17,IF(#REF!=Data!$QK$9,Data!$QS$17,IF(#REF!=Data!$QK$10,Data!$QT$17,IF(#REF!=Data!$QK$11,Data!$QU$17))))))))))</f>
        <v>#REF!</v>
      </c>
      <c r="BD48" s="33" t="e">
        <f>IF(#REF!=Data!$PU$2,Data!$PW$1,IF(#REF!=Data!$PU$3,Data!$PW$1,IF(#REF!=Data!$PU$4,Data!$PV$1,IF(#REF!=Data!$PU$5,Data!$PV$1,))))</f>
        <v>#REF!</v>
      </c>
      <c r="BE48" s="33" t="e">
        <f>MATCH('Panel Glide Blinds'!D48,Data!$AAK$2:$AAK$15)</f>
        <v>#N/A</v>
      </c>
      <c r="BF48" s="33" t="e">
        <f>MATCH(O48,Data!$AAL$1:$AAM$1)</f>
        <v>#N/A</v>
      </c>
      <c r="BG48" s="33" t="e">
        <f>INDEX(Data!$AAL$2:$AAM$15,BE48,BF48)</f>
        <v>#N/A</v>
      </c>
      <c r="BH48" s="33" t="b">
        <f>IF(O48=Data!$ABF$1,Data!$ABD$1,IF(O48=Data!$ABF$2,Data!$ABE$1))</f>
        <v>0</v>
      </c>
      <c r="BI48" s="33" t="e">
        <f>VLOOKUP(H48,Data!$ABL$2:$ABM$8,2,FALSE)</f>
        <v>#N/A</v>
      </c>
      <c r="BJ48" s="172" t="e">
        <f>VLOOKUP(H48,Data!$ABW$2:$ABX$9,2,FALSE)</f>
        <v>#N/A</v>
      </c>
      <c r="BK48" s="172" t="e">
        <f>VLOOKUP(H48,Data!$ABW$2:$ABY$8,3,FALSE)</f>
        <v>#N/A</v>
      </c>
      <c r="BL48" s="172" t="str">
        <f t="shared" si="9"/>
        <v/>
      </c>
      <c r="BM48" s="172" t="str">
        <f t="shared" si="10"/>
        <v/>
      </c>
      <c r="BN48" s="172" t="str">
        <f t="shared" si="4"/>
        <v/>
      </c>
      <c r="BO48" s="33" t="e">
        <f t="shared" si="5"/>
        <v>#DIV/0!</v>
      </c>
      <c r="BP48" s="33" t="e">
        <f t="shared" si="6"/>
        <v>#DIV/0!</v>
      </c>
      <c r="BQ48" s="33" t="e">
        <f t="shared" si="7"/>
        <v>#DIV/0!</v>
      </c>
      <c r="BR48" s="33" t="str">
        <f t="shared" si="8"/>
        <v/>
      </c>
    </row>
    <row r="49" spans="1:70" ht="30" customHeight="1" thickTop="1" thickBot="1">
      <c r="A49" s="52">
        <v>42</v>
      </c>
      <c r="B49" s="13"/>
      <c r="C49" s="13"/>
      <c r="D49" s="19"/>
      <c r="E49" s="15"/>
      <c r="F49" s="14"/>
      <c r="G49" s="14"/>
      <c r="H49" s="14"/>
      <c r="I49" s="13"/>
      <c r="J49" s="14"/>
      <c r="K49" s="14"/>
      <c r="L49" s="525"/>
      <c r="M49" s="526"/>
      <c r="N49" s="15"/>
      <c r="O49" s="15"/>
      <c r="P49" s="15"/>
      <c r="Q49" s="13"/>
      <c r="R49" s="13"/>
      <c r="S49" s="13"/>
      <c r="T49" s="689"/>
      <c r="U49" s="690"/>
      <c r="V49" s="229"/>
      <c r="W49" s="230"/>
      <c r="X49" s="269" t="e">
        <f t="shared" si="2"/>
        <v>#N/A</v>
      </c>
      <c r="Y49" s="269" t="e">
        <f>VLOOKUP(Q49,Data!$QH$2:$QI$4,2,FALSE)</f>
        <v>#N/A</v>
      </c>
      <c r="AA49" s="269" t="e">
        <f t="shared" si="3"/>
        <v>#N/A</v>
      </c>
      <c r="AD49" s="172" t="e">
        <f>IF(#REF!=Data!$KK$2,Data!$KM$1,IF(#REF!=Data!$KK$3,Data!$KN$1,IF(#REF!=Data!$KK$4,Data!$KP$1,IF(#REF!=Data!$KK$5,Data!$KQ$1))))</f>
        <v>#REF!</v>
      </c>
      <c r="AE49" s="33" t="str">
        <f>IF(D49=Data!$W$10,Data!$QJ$1,Data!$QK$1)</f>
        <v>RollerControl</v>
      </c>
      <c r="AH49" s="33" t="b">
        <f>IF(Q49=Data!$PX$2,Data!$PZ$1,IF(Q49=Data!$PX$3,Data!$PY$1,IF(Q49=Data!$PX$4,Data!$QA$1)))</f>
        <v>0</v>
      </c>
      <c r="AJ49" s="33" t="b">
        <f>IF(Q49=Data!$PX$3,Data!$QB$1,IF(Q49=Data!$PX$2,Data!$QC$1,IF(Q49=Data!$PX$4,Data!$QD$1)))</f>
        <v>0</v>
      </c>
      <c r="AL49" s="33" t="str">
        <f>IF(D49=Data!$W$3,Data!$QF$1,IF(D49=Data!$W$4,Data!$QF$1,IF(D49=Data!$W$5,Data!$QF$1,IF(D49=Data!$W$6,Data!$QF$1,IF(D49=Data!$W$7,Data!$QF$1,IF(D49=Data!$W$8,Data!$QF$1,IF(D49=Data!$W$9,Data!$QF$1,IF(D49=Data!$W$10,Data!$QE$1,IF(D49=Data!$W$11,Data!$QF$1,IF(D49=Data!$W$12,Data!$QF$1,IF(D49=Data!$W$13,Data!$QF$1,IF(D49=Data!$W$14,Data!$QF$1,IF(D49=Data!$W$15,Data!$QF$1,IF(D49=Data!$W$16,Data!$QF$1))))))))))))))</f>
        <v>RollerBracketType2</v>
      </c>
      <c r="AV49" s="40" t="e">
        <f>IF(AND(G49&lt;2130, OR(#REF!&lt;2100)),Data!$KS$1,Data!$KT$1)</f>
        <v>#REF!</v>
      </c>
      <c r="AW49" s="172" t="e">
        <f>MATCH(#REF!,Data!$LA$1:$LD$1,0)</f>
        <v>#REF!</v>
      </c>
      <c r="AX49" s="172" t="e">
        <f>MATCH('Panel Glide Blinds'!AV49,Data!$KZ$2:$KZ$3,0)</f>
        <v>#REF!</v>
      </c>
      <c r="AY49" s="172" t="e">
        <f>INDEX(Data!$LA$2:$LD$3,'Panel Glide Blinds'!AX49,'Panel Glide Blinds'!AW49)</f>
        <v>#REF!</v>
      </c>
      <c r="BB49" s="172" t="e">
        <f>IF(#REF!=Data!$QK$2,Data!$QL$1,IF(#REF!=Data!$QK$3,Data!$QM$1,IF(#REF!=Data!$QK$4,Data!$QN$1,IF(#REF!=Data!$QK$5,Data!$QO$1,IF(#REF!=Data!$QK$6,Data!$QP$1,IF(#REF!=Data!$QK$7,Data!$QQ$1,IF(#REF!=Data!$QK$8,Data!$QR$1,IF(#REF!=Data!$QK$9,Data!$QS$1,IF(#REF!=Data!$QK$10,Data!$QT$1,IF(#REF!=Data!$QK$11,Data!$QU$1))))))))))</f>
        <v>#REF!</v>
      </c>
      <c r="BC49" s="33" t="e">
        <f>IF(#REF!=Data!$QK$2,Data!$QL$17,IF(#REF!=Data!$QK$3,Data!$QM$17,IF(#REF!=Data!$QK$4,Data!$QN$17,IF(#REF!=Data!$QK$5,Data!$QO$17,IF(#REF!=Data!$QK$6,Data!$QP$17,IF(#REF!=Data!$QK$7,Data!$QQ$17,IF(#REF!=Data!$QK$8,Data!$QR$17,IF(#REF!=Data!$QK$9,Data!$QS$17,IF(#REF!=Data!$QK$10,Data!$QT$17,IF(#REF!=Data!$QK$11,Data!$QU$17))))))))))</f>
        <v>#REF!</v>
      </c>
      <c r="BD49" s="33" t="e">
        <f>IF(#REF!=Data!$PU$2,Data!$PW$1,IF(#REF!=Data!$PU$3,Data!$PW$1,IF(#REF!=Data!$PU$4,Data!$PV$1,IF(#REF!=Data!$PU$5,Data!$PV$1,))))</f>
        <v>#REF!</v>
      </c>
      <c r="BE49" s="33" t="e">
        <f>MATCH('Panel Glide Blinds'!D49,Data!$AAK$2:$AAK$15)</f>
        <v>#N/A</v>
      </c>
      <c r="BF49" s="33" t="e">
        <f>MATCH(O49,Data!$AAL$1:$AAM$1)</f>
        <v>#N/A</v>
      </c>
      <c r="BG49" s="33" t="e">
        <f>INDEX(Data!$AAL$2:$AAM$15,BE49,BF49)</f>
        <v>#N/A</v>
      </c>
      <c r="BH49" s="33" t="b">
        <f>IF(O49=Data!$ABF$1,Data!$ABD$1,IF(O49=Data!$ABF$2,Data!$ABE$1))</f>
        <v>0</v>
      </c>
      <c r="BI49" s="33" t="e">
        <f>VLOOKUP(H49,Data!$ABL$2:$ABM$8,2,FALSE)</f>
        <v>#N/A</v>
      </c>
      <c r="BJ49" s="172" t="e">
        <f>VLOOKUP(H49,Data!$ABW$2:$ABX$9,2,FALSE)</f>
        <v>#N/A</v>
      </c>
      <c r="BK49" s="172" t="e">
        <f>VLOOKUP(H49,Data!$ABW$2:$ABY$8,3,FALSE)</f>
        <v>#N/A</v>
      </c>
      <c r="BL49" s="172" t="str">
        <f t="shared" si="9"/>
        <v/>
      </c>
      <c r="BM49" s="172" t="str">
        <f t="shared" si="10"/>
        <v/>
      </c>
      <c r="BN49" s="172" t="str">
        <f t="shared" si="4"/>
        <v/>
      </c>
      <c r="BO49" s="33" t="e">
        <f t="shared" si="5"/>
        <v>#DIV/0!</v>
      </c>
      <c r="BP49" s="33" t="e">
        <f t="shared" si="6"/>
        <v>#DIV/0!</v>
      </c>
      <c r="BQ49" s="33" t="e">
        <f t="shared" si="7"/>
        <v>#DIV/0!</v>
      </c>
      <c r="BR49" s="33" t="str">
        <f t="shared" si="8"/>
        <v/>
      </c>
    </row>
    <row r="50" spans="1:70" ht="30" customHeight="1" thickTop="1" thickBot="1">
      <c r="A50" s="52">
        <v>43</v>
      </c>
      <c r="B50" s="13"/>
      <c r="C50" s="13"/>
      <c r="D50" s="19"/>
      <c r="E50" s="15"/>
      <c r="F50" s="14"/>
      <c r="G50" s="14"/>
      <c r="H50" s="14"/>
      <c r="I50" s="13"/>
      <c r="J50" s="14"/>
      <c r="K50" s="14"/>
      <c r="L50" s="525"/>
      <c r="M50" s="526"/>
      <c r="N50" s="15"/>
      <c r="O50" s="15"/>
      <c r="P50" s="15"/>
      <c r="Q50" s="13"/>
      <c r="R50" s="13"/>
      <c r="S50" s="13"/>
      <c r="T50" s="689"/>
      <c r="U50" s="690"/>
      <c r="V50" s="229"/>
      <c r="W50" s="230"/>
      <c r="X50" s="269" t="e">
        <f t="shared" si="2"/>
        <v>#N/A</v>
      </c>
      <c r="Y50" s="269" t="e">
        <f>VLOOKUP(Q50,Data!$QH$2:$QI$4,2,FALSE)</f>
        <v>#N/A</v>
      </c>
      <c r="AA50" s="269" t="e">
        <f t="shared" si="3"/>
        <v>#N/A</v>
      </c>
      <c r="AD50" s="172" t="e">
        <f>IF(#REF!=Data!$KK$2,Data!$KM$1,IF(#REF!=Data!$KK$3,Data!$KN$1,IF(#REF!=Data!$KK$4,Data!$KP$1,IF(#REF!=Data!$KK$5,Data!$KQ$1))))</f>
        <v>#REF!</v>
      </c>
      <c r="AE50" s="33" t="str">
        <f>IF(D50=Data!$W$10,Data!$QJ$1,Data!$QK$1)</f>
        <v>RollerControl</v>
      </c>
      <c r="AH50" s="33" t="b">
        <f>IF(Q50=Data!$PX$2,Data!$PZ$1,IF(Q50=Data!$PX$3,Data!$PY$1,IF(Q50=Data!$PX$4,Data!$QA$1)))</f>
        <v>0</v>
      </c>
      <c r="AJ50" s="33" t="b">
        <f>IF(Q50=Data!$PX$3,Data!$QB$1,IF(Q50=Data!$PX$2,Data!$QC$1,IF(Q50=Data!$PX$4,Data!$QD$1)))</f>
        <v>0</v>
      </c>
      <c r="AL50" s="33" t="str">
        <f>IF(D50=Data!$W$3,Data!$QF$1,IF(D50=Data!$W$4,Data!$QF$1,IF(D50=Data!$W$5,Data!$QF$1,IF(D50=Data!$W$6,Data!$QF$1,IF(D50=Data!$W$7,Data!$QF$1,IF(D50=Data!$W$8,Data!$QF$1,IF(D50=Data!$W$9,Data!$QF$1,IF(D50=Data!$W$10,Data!$QE$1,IF(D50=Data!$W$11,Data!$QF$1,IF(D50=Data!$W$12,Data!$QF$1,IF(D50=Data!$W$13,Data!$QF$1,IF(D50=Data!$W$14,Data!$QF$1,IF(D50=Data!$W$15,Data!$QF$1,IF(D50=Data!$W$16,Data!$QF$1))))))))))))))</f>
        <v>RollerBracketType2</v>
      </c>
      <c r="AV50" s="40" t="e">
        <f>IF(AND(G50&lt;2130, OR(#REF!&lt;2100)),Data!$KS$1,Data!$KT$1)</f>
        <v>#REF!</v>
      </c>
      <c r="AW50" s="172" t="e">
        <f>MATCH(#REF!,Data!$LA$1:$LD$1,0)</f>
        <v>#REF!</v>
      </c>
      <c r="AX50" s="172" t="e">
        <f>MATCH('Panel Glide Blinds'!AV50,Data!$KZ$2:$KZ$3,0)</f>
        <v>#REF!</v>
      </c>
      <c r="AY50" s="172" t="e">
        <f>INDEX(Data!$LA$2:$LD$3,'Panel Glide Blinds'!AX50,'Panel Glide Blinds'!AW50)</f>
        <v>#REF!</v>
      </c>
      <c r="BB50" s="172" t="e">
        <f>IF(#REF!=Data!$QK$2,Data!$QL$1,IF(#REF!=Data!$QK$3,Data!$QM$1,IF(#REF!=Data!$QK$4,Data!$QN$1,IF(#REF!=Data!$QK$5,Data!$QO$1,IF(#REF!=Data!$QK$6,Data!$QP$1,IF(#REF!=Data!$QK$7,Data!$QQ$1,IF(#REF!=Data!$QK$8,Data!$QR$1,IF(#REF!=Data!$QK$9,Data!$QS$1,IF(#REF!=Data!$QK$10,Data!$QT$1,IF(#REF!=Data!$QK$11,Data!$QU$1))))))))))</f>
        <v>#REF!</v>
      </c>
      <c r="BC50" s="33" t="e">
        <f>IF(#REF!=Data!$QK$2,Data!$QL$17,IF(#REF!=Data!$QK$3,Data!$QM$17,IF(#REF!=Data!$QK$4,Data!$QN$17,IF(#REF!=Data!$QK$5,Data!$QO$17,IF(#REF!=Data!$QK$6,Data!$QP$17,IF(#REF!=Data!$QK$7,Data!$QQ$17,IF(#REF!=Data!$QK$8,Data!$QR$17,IF(#REF!=Data!$QK$9,Data!$QS$17,IF(#REF!=Data!$QK$10,Data!$QT$17,IF(#REF!=Data!$QK$11,Data!$QU$17))))))))))</f>
        <v>#REF!</v>
      </c>
      <c r="BD50" s="33" t="e">
        <f>IF(#REF!=Data!$PU$2,Data!$PW$1,IF(#REF!=Data!$PU$3,Data!$PW$1,IF(#REF!=Data!$PU$4,Data!$PV$1,IF(#REF!=Data!$PU$5,Data!$PV$1,))))</f>
        <v>#REF!</v>
      </c>
      <c r="BE50" s="33" t="e">
        <f>MATCH('Panel Glide Blinds'!D50,Data!$AAK$2:$AAK$15)</f>
        <v>#N/A</v>
      </c>
      <c r="BF50" s="33" t="e">
        <f>MATCH(O50,Data!$AAL$1:$AAM$1)</f>
        <v>#N/A</v>
      </c>
      <c r="BG50" s="33" t="e">
        <f>INDEX(Data!$AAL$2:$AAM$15,BE50,BF50)</f>
        <v>#N/A</v>
      </c>
      <c r="BH50" s="33" t="b">
        <f>IF(O50=Data!$ABF$1,Data!$ABD$1,IF(O50=Data!$ABF$2,Data!$ABE$1))</f>
        <v>0</v>
      </c>
      <c r="BI50" s="33" t="e">
        <f>VLOOKUP(H50,Data!$ABL$2:$ABM$8,2,FALSE)</f>
        <v>#N/A</v>
      </c>
      <c r="BJ50" s="172" t="e">
        <f>VLOOKUP(H50,Data!$ABW$2:$ABX$9,2,FALSE)</f>
        <v>#N/A</v>
      </c>
      <c r="BK50" s="172" t="e">
        <f>VLOOKUP(H50,Data!$ABW$2:$ABY$8,3,FALSE)</f>
        <v>#N/A</v>
      </c>
      <c r="BL50" s="172" t="str">
        <f t="shared" si="9"/>
        <v/>
      </c>
      <c r="BM50" s="172" t="str">
        <f t="shared" si="10"/>
        <v/>
      </c>
      <c r="BN50" s="172" t="str">
        <f t="shared" si="4"/>
        <v/>
      </c>
      <c r="BO50" s="33" t="e">
        <f t="shared" si="5"/>
        <v>#DIV/0!</v>
      </c>
      <c r="BP50" s="33" t="e">
        <f t="shared" si="6"/>
        <v>#DIV/0!</v>
      </c>
      <c r="BQ50" s="33" t="e">
        <f t="shared" si="7"/>
        <v>#DIV/0!</v>
      </c>
      <c r="BR50" s="33" t="str">
        <f t="shared" si="8"/>
        <v/>
      </c>
    </row>
    <row r="51" spans="1:70" ht="30" customHeight="1" thickTop="1" thickBot="1">
      <c r="A51" s="52">
        <v>44</v>
      </c>
      <c r="B51" s="13"/>
      <c r="C51" s="13"/>
      <c r="D51" s="19"/>
      <c r="E51" s="15"/>
      <c r="F51" s="14"/>
      <c r="G51" s="14"/>
      <c r="H51" s="14"/>
      <c r="I51" s="13"/>
      <c r="J51" s="14"/>
      <c r="K51" s="14"/>
      <c r="L51" s="525"/>
      <c r="M51" s="526"/>
      <c r="N51" s="15"/>
      <c r="O51" s="15"/>
      <c r="P51" s="15"/>
      <c r="Q51" s="13"/>
      <c r="R51" s="13"/>
      <c r="S51" s="13"/>
      <c r="T51" s="689"/>
      <c r="U51" s="690"/>
      <c r="V51" s="229"/>
      <c r="W51" s="230"/>
      <c r="X51" s="269" t="e">
        <f t="shared" si="2"/>
        <v>#N/A</v>
      </c>
      <c r="Y51" s="269" t="e">
        <f>VLOOKUP(Q51,Data!$QH$2:$QI$4,2,FALSE)</f>
        <v>#N/A</v>
      </c>
      <c r="AA51" s="269" t="e">
        <f t="shared" si="3"/>
        <v>#N/A</v>
      </c>
      <c r="AD51" s="172" t="e">
        <f>IF(#REF!=Data!$KK$2,Data!$KM$1,IF(#REF!=Data!$KK$3,Data!$KN$1,IF(#REF!=Data!$KK$4,Data!$KP$1,IF(#REF!=Data!$KK$5,Data!$KQ$1))))</f>
        <v>#REF!</v>
      </c>
      <c r="AE51" s="33" t="str">
        <f>IF(D51=Data!$W$10,Data!$QJ$1,Data!$QK$1)</f>
        <v>RollerControl</v>
      </c>
      <c r="AH51" s="33" t="b">
        <f>IF(Q51=Data!$PX$2,Data!$PZ$1,IF(Q51=Data!$PX$3,Data!$PY$1,IF(Q51=Data!$PX$4,Data!$QA$1)))</f>
        <v>0</v>
      </c>
      <c r="AJ51" s="33" t="b">
        <f>IF(Q51=Data!$PX$3,Data!$QB$1,IF(Q51=Data!$PX$2,Data!$QC$1,IF(Q51=Data!$PX$4,Data!$QD$1)))</f>
        <v>0</v>
      </c>
      <c r="AL51" s="33" t="str">
        <f>IF(D51=Data!$W$3,Data!$QF$1,IF(D51=Data!$W$4,Data!$QF$1,IF(D51=Data!$W$5,Data!$QF$1,IF(D51=Data!$W$6,Data!$QF$1,IF(D51=Data!$W$7,Data!$QF$1,IF(D51=Data!$W$8,Data!$QF$1,IF(D51=Data!$W$9,Data!$QF$1,IF(D51=Data!$W$10,Data!$QE$1,IF(D51=Data!$W$11,Data!$QF$1,IF(D51=Data!$W$12,Data!$QF$1,IF(D51=Data!$W$13,Data!$QF$1,IF(D51=Data!$W$14,Data!$QF$1,IF(D51=Data!$W$15,Data!$QF$1,IF(D51=Data!$W$16,Data!$QF$1))))))))))))))</f>
        <v>RollerBracketType2</v>
      </c>
      <c r="AV51" s="40" t="e">
        <f>IF(AND(G51&lt;2130, OR(#REF!&lt;2100)),Data!$KS$1,Data!$KT$1)</f>
        <v>#REF!</v>
      </c>
      <c r="AW51" s="172" t="e">
        <f>MATCH(#REF!,Data!$LA$1:$LD$1,0)</f>
        <v>#REF!</v>
      </c>
      <c r="AX51" s="172" t="e">
        <f>MATCH('Panel Glide Blinds'!AV51,Data!$KZ$2:$KZ$3,0)</f>
        <v>#REF!</v>
      </c>
      <c r="AY51" s="172" t="e">
        <f>INDEX(Data!$LA$2:$LD$3,'Panel Glide Blinds'!AX51,'Panel Glide Blinds'!AW51)</f>
        <v>#REF!</v>
      </c>
      <c r="BB51" s="172" t="e">
        <f>IF(#REF!=Data!$QK$2,Data!$QL$1,IF(#REF!=Data!$QK$3,Data!$QM$1,IF(#REF!=Data!$QK$4,Data!$QN$1,IF(#REF!=Data!$QK$5,Data!$QO$1,IF(#REF!=Data!$QK$6,Data!$QP$1,IF(#REF!=Data!$QK$7,Data!$QQ$1,IF(#REF!=Data!$QK$8,Data!$QR$1,IF(#REF!=Data!$QK$9,Data!$QS$1,IF(#REF!=Data!$QK$10,Data!$QT$1,IF(#REF!=Data!$QK$11,Data!$QU$1))))))))))</f>
        <v>#REF!</v>
      </c>
      <c r="BC51" s="33" t="e">
        <f>IF(#REF!=Data!$QK$2,Data!$QL$17,IF(#REF!=Data!$QK$3,Data!$QM$17,IF(#REF!=Data!$QK$4,Data!$QN$17,IF(#REF!=Data!$QK$5,Data!$QO$17,IF(#REF!=Data!$QK$6,Data!$QP$17,IF(#REF!=Data!$QK$7,Data!$QQ$17,IF(#REF!=Data!$QK$8,Data!$QR$17,IF(#REF!=Data!$QK$9,Data!$QS$17,IF(#REF!=Data!$QK$10,Data!$QT$17,IF(#REF!=Data!$QK$11,Data!$QU$17))))))))))</f>
        <v>#REF!</v>
      </c>
      <c r="BD51" s="33" t="e">
        <f>IF(#REF!=Data!$PU$2,Data!$PW$1,IF(#REF!=Data!$PU$3,Data!$PW$1,IF(#REF!=Data!$PU$4,Data!$PV$1,IF(#REF!=Data!$PU$5,Data!$PV$1,))))</f>
        <v>#REF!</v>
      </c>
      <c r="BE51" s="33" t="e">
        <f>MATCH('Panel Glide Blinds'!D51,Data!$AAK$2:$AAK$15)</f>
        <v>#N/A</v>
      </c>
      <c r="BF51" s="33" t="e">
        <f>MATCH(O51,Data!$AAL$1:$AAM$1)</f>
        <v>#N/A</v>
      </c>
      <c r="BG51" s="33" t="e">
        <f>INDEX(Data!$AAL$2:$AAM$15,BE51,BF51)</f>
        <v>#N/A</v>
      </c>
      <c r="BH51" s="33" t="b">
        <f>IF(O51=Data!$ABF$1,Data!$ABD$1,IF(O51=Data!$ABF$2,Data!$ABE$1))</f>
        <v>0</v>
      </c>
      <c r="BI51" s="33" t="e">
        <f>VLOOKUP(H51,Data!$ABL$2:$ABM$8,2,FALSE)</f>
        <v>#N/A</v>
      </c>
      <c r="BJ51" s="172" t="e">
        <f>VLOOKUP(H51,Data!$ABW$2:$ABX$9,2,FALSE)</f>
        <v>#N/A</v>
      </c>
      <c r="BK51" s="172" t="e">
        <f>VLOOKUP(H51,Data!$ABW$2:$ABY$8,3,FALSE)</f>
        <v>#N/A</v>
      </c>
      <c r="BL51" s="172" t="str">
        <f t="shared" si="9"/>
        <v/>
      </c>
      <c r="BM51" s="172" t="str">
        <f t="shared" si="10"/>
        <v/>
      </c>
      <c r="BN51" s="172" t="str">
        <f t="shared" si="4"/>
        <v/>
      </c>
      <c r="BO51" s="33" t="e">
        <f t="shared" si="5"/>
        <v>#DIV/0!</v>
      </c>
      <c r="BP51" s="33" t="e">
        <f t="shared" si="6"/>
        <v>#DIV/0!</v>
      </c>
      <c r="BQ51" s="33" t="e">
        <f t="shared" si="7"/>
        <v>#DIV/0!</v>
      </c>
      <c r="BR51" s="33" t="str">
        <f t="shared" si="8"/>
        <v/>
      </c>
    </row>
    <row r="52" spans="1:70" ht="30" customHeight="1" thickTop="1" thickBot="1">
      <c r="A52" s="52">
        <v>45</v>
      </c>
      <c r="B52" s="13"/>
      <c r="C52" s="13"/>
      <c r="D52" s="19"/>
      <c r="E52" s="15"/>
      <c r="F52" s="14"/>
      <c r="G52" s="14"/>
      <c r="H52" s="14"/>
      <c r="I52" s="13"/>
      <c r="J52" s="14"/>
      <c r="K52" s="14"/>
      <c r="L52" s="525"/>
      <c r="M52" s="526"/>
      <c r="N52" s="15"/>
      <c r="O52" s="15"/>
      <c r="P52" s="15"/>
      <c r="Q52" s="13"/>
      <c r="R52" s="13"/>
      <c r="S52" s="13"/>
      <c r="T52" s="689"/>
      <c r="U52" s="690"/>
      <c r="V52" s="229"/>
      <c r="W52" s="230"/>
      <c r="X52" s="269" t="e">
        <f t="shared" si="2"/>
        <v>#N/A</v>
      </c>
      <c r="Y52" s="269" t="e">
        <f>VLOOKUP(Q52,Data!$QH$2:$QI$4,2,FALSE)</f>
        <v>#N/A</v>
      </c>
      <c r="AA52" s="269" t="e">
        <f t="shared" si="3"/>
        <v>#N/A</v>
      </c>
      <c r="AD52" s="172" t="e">
        <f>IF(#REF!=Data!$KK$2,Data!$KM$1,IF(#REF!=Data!$KK$3,Data!$KN$1,IF(#REF!=Data!$KK$4,Data!$KP$1,IF(#REF!=Data!$KK$5,Data!$KQ$1))))</f>
        <v>#REF!</v>
      </c>
      <c r="AE52" s="33" t="str">
        <f>IF(D52=Data!$W$10,Data!$QJ$1,Data!$QK$1)</f>
        <v>RollerControl</v>
      </c>
      <c r="AH52" s="33" t="b">
        <f>IF(Q52=Data!$PX$2,Data!$PZ$1,IF(Q52=Data!$PX$3,Data!$PY$1,IF(Q52=Data!$PX$4,Data!$QA$1)))</f>
        <v>0</v>
      </c>
      <c r="AJ52" s="33" t="b">
        <f>IF(Q52=Data!$PX$3,Data!$QB$1,IF(Q52=Data!$PX$2,Data!$QC$1,IF(Q52=Data!$PX$4,Data!$QD$1)))</f>
        <v>0</v>
      </c>
      <c r="AL52" s="33" t="str">
        <f>IF(D52=Data!$W$3,Data!$QF$1,IF(D52=Data!$W$4,Data!$QF$1,IF(D52=Data!$W$5,Data!$QF$1,IF(D52=Data!$W$6,Data!$QF$1,IF(D52=Data!$W$7,Data!$QF$1,IF(D52=Data!$W$8,Data!$QF$1,IF(D52=Data!$W$9,Data!$QF$1,IF(D52=Data!$W$10,Data!$QE$1,IF(D52=Data!$W$11,Data!$QF$1,IF(D52=Data!$W$12,Data!$QF$1,IF(D52=Data!$W$13,Data!$QF$1,IF(D52=Data!$W$14,Data!$QF$1,IF(D52=Data!$W$15,Data!$QF$1,IF(D52=Data!$W$16,Data!$QF$1))))))))))))))</f>
        <v>RollerBracketType2</v>
      </c>
      <c r="AV52" s="40" t="e">
        <f>IF(AND(G52&lt;2130, OR(#REF!&lt;2100)),Data!$KS$1,Data!$KT$1)</f>
        <v>#REF!</v>
      </c>
      <c r="AW52" s="172" t="e">
        <f>MATCH(#REF!,Data!$LA$1:$LD$1,0)</f>
        <v>#REF!</v>
      </c>
      <c r="AX52" s="172" t="e">
        <f>MATCH('Panel Glide Blinds'!AV52,Data!$KZ$2:$KZ$3,0)</f>
        <v>#REF!</v>
      </c>
      <c r="AY52" s="172" t="e">
        <f>INDEX(Data!$LA$2:$LD$3,'Panel Glide Blinds'!AX52,'Panel Glide Blinds'!AW52)</f>
        <v>#REF!</v>
      </c>
      <c r="BB52" s="172" t="e">
        <f>IF(#REF!=Data!$QK$2,Data!$QL$1,IF(#REF!=Data!$QK$3,Data!$QM$1,IF(#REF!=Data!$QK$4,Data!$QN$1,IF(#REF!=Data!$QK$5,Data!$QO$1,IF(#REF!=Data!$QK$6,Data!$QP$1,IF(#REF!=Data!$QK$7,Data!$QQ$1,IF(#REF!=Data!$QK$8,Data!$QR$1,IF(#REF!=Data!$QK$9,Data!$QS$1,IF(#REF!=Data!$QK$10,Data!$QT$1,IF(#REF!=Data!$QK$11,Data!$QU$1))))))))))</f>
        <v>#REF!</v>
      </c>
      <c r="BC52" s="33" t="e">
        <f>IF(#REF!=Data!$QK$2,Data!$QL$17,IF(#REF!=Data!$QK$3,Data!$QM$17,IF(#REF!=Data!$QK$4,Data!$QN$17,IF(#REF!=Data!$QK$5,Data!$QO$17,IF(#REF!=Data!$QK$6,Data!$QP$17,IF(#REF!=Data!$QK$7,Data!$QQ$17,IF(#REF!=Data!$QK$8,Data!$QR$17,IF(#REF!=Data!$QK$9,Data!$QS$17,IF(#REF!=Data!$QK$10,Data!$QT$17,IF(#REF!=Data!$QK$11,Data!$QU$17))))))))))</f>
        <v>#REF!</v>
      </c>
      <c r="BD52" s="33" t="e">
        <f>IF(#REF!=Data!$PU$2,Data!$PW$1,IF(#REF!=Data!$PU$3,Data!$PW$1,IF(#REF!=Data!$PU$4,Data!$PV$1,IF(#REF!=Data!$PU$5,Data!$PV$1,))))</f>
        <v>#REF!</v>
      </c>
      <c r="BE52" s="33" t="e">
        <f>MATCH('Panel Glide Blinds'!D52,Data!$AAK$2:$AAK$15)</f>
        <v>#N/A</v>
      </c>
      <c r="BF52" s="33" t="e">
        <f>MATCH(O52,Data!$AAL$1:$AAM$1)</f>
        <v>#N/A</v>
      </c>
      <c r="BG52" s="33" t="e">
        <f>INDEX(Data!$AAL$2:$AAM$15,BE52,BF52)</f>
        <v>#N/A</v>
      </c>
      <c r="BH52" s="33" t="b">
        <f>IF(O52=Data!$ABF$1,Data!$ABD$1,IF(O52=Data!$ABF$2,Data!$ABE$1))</f>
        <v>0</v>
      </c>
      <c r="BI52" s="33" t="e">
        <f>VLOOKUP(H52,Data!$ABL$2:$ABM$8,2,FALSE)</f>
        <v>#N/A</v>
      </c>
      <c r="BJ52" s="172" t="e">
        <f>VLOOKUP(H52,Data!$ABW$2:$ABX$9,2,FALSE)</f>
        <v>#N/A</v>
      </c>
      <c r="BK52" s="172" t="e">
        <f>VLOOKUP(H52,Data!$ABW$2:$ABY$8,3,FALSE)</f>
        <v>#N/A</v>
      </c>
      <c r="BL52" s="172" t="str">
        <f t="shared" si="9"/>
        <v/>
      </c>
      <c r="BM52" s="172" t="str">
        <f t="shared" si="10"/>
        <v/>
      </c>
      <c r="BN52" s="172" t="str">
        <f t="shared" si="4"/>
        <v/>
      </c>
      <c r="BO52" s="33" t="e">
        <f t="shared" si="5"/>
        <v>#DIV/0!</v>
      </c>
      <c r="BP52" s="33" t="e">
        <f t="shared" si="6"/>
        <v>#DIV/0!</v>
      </c>
      <c r="BQ52" s="33" t="e">
        <f t="shared" si="7"/>
        <v>#DIV/0!</v>
      </c>
      <c r="BR52" s="33" t="str">
        <f t="shared" si="8"/>
        <v/>
      </c>
    </row>
    <row r="53" spans="1:70" ht="30" customHeight="1" thickTop="1" thickBot="1">
      <c r="A53" s="52">
        <v>46</v>
      </c>
      <c r="B53" s="13"/>
      <c r="C53" s="13"/>
      <c r="D53" s="19"/>
      <c r="E53" s="15"/>
      <c r="F53" s="14"/>
      <c r="G53" s="14"/>
      <c r="H53" s="14"/>
      <c r="I53" s="13"/>
      <c r="J53" s="14"/>
      <c r="K53" s="14"/>
      <c r="L53" s="525"/>
      <c r="M53" s="526"/>
      <c r="N53" s="15"/>
      <c r="O53" s="15"/>
      <c r="P53" s="15"/>
      <c r="Q53" s="13"/>
      <c r="R53" s="13"/>
      <c r="S53" s="13"/>
      <c r="T53" s="689"/>
      <c r="U53" s="690"/>
      <c r="V53" s="229"/>
      <c r="W53" s="230"/>
      <c r="X53" s="269" t="e">
        <f t="shared" si="2"/>
        <v>#N/A</v>
      </c>
      <c r="Y53" s="269" t="e">
        <f>VLOOKUP(Q53,Data!$QH$2:$QI$4,2,FALSE)</f>
        <v>#N/A</v>
      </c>
      <c r="AA53" s="269" t="e">
        <f t="shared" si="3"/>
        <v>#N/A</v>
      </c>
      <c r="AD53" s="172" t="e">
        <f>IF(#REF!=Data!$KK$2,Data!$KM$1,IF(#REF!=Data!$KK$3,Data!$KN$1,IF(#REF!=Data!$KK$4,Data!$KP$1,IF(#REF!=Data!$KK$5,Data!$KQ$1))))</f>
        <v>#REF!</v>
      </c>
      <c r="AE53" s="33" t="str">
        <f>IF(D53=Data!$W$10,Data!$QJ$1,Data!$QK$1)</f>
        <v>RollerControl</v>
      </c>
      <c r="AH53" s="33" t="b">
        <f>IF(Q53=Data!$PX$2,Data!$PZ$1,IF(Q53=Data!$PX$3,Data!$PY$1,IF(Q53=Data!$PX$4,Data!$QA$1)))</f>
        <v>0</v>
      </c>
      <c r="AJ53" s="33" t="b">
        <f>IF(Q53=Data!$PX$3,Data!$QB$1,IF(Q53=Data!$PX$2,Data!$QC$1,IF(Q53=Data!$PX$4,Data!$QD$1)))</f>
        <v>0</v>
      </c>
      <c r="AL53" s="33" t="str">
        <f>IF(D53=Data!$W$3,Data!$QF$1,IF(D53=Data!$W$4,Data!$QF$1,IF(D53=Data!$W$5,Data!$QF$1,IF(D53=Data!$W$6,Data!$QF$1,IF(D53=Data!$W$7,Data!$QF$1,IF(D53=Data!$W$8,Data!$QF$1,IF(D53=Data!$W$9,Data!$QF$1,IF(D53=Data!$W$10,Data!$QE$1,IF(D53=Data!$W$11,Data!$QF$1,IF(D53=Data!$W$12,Data!$QF$1,IF(D53=Data!$W$13,Data!$QF$1,IF(D53=Data!$W$14,Data!$QF$1,IF(D53=Data!$W$15,Data!$QF$1,IF(D53=Data!$W$16,Data!$QF$1))))))))))))))</f>
        <v>RollerBracketType2</v>
      </c>
      <c r="AV53" s="40" t="e">
        <f>IF(AND(G53&lt;2130, OR(#REF!&lt;2100)),Data!$KS$1,Data!$KT$1)</f>
        <v>#REF!</v>
      </c>
      <c r="AW53" s="172" t="e">
        <f>MATCH(#REF!,Data!$LA$1:$LD$1,0)</f>
        <v>#REF!</v>
      </c>
      <c r="AX53" s="172" t="e">
        <f>MATCH('Panel Glide Blinds'!AV53,Data!$KZ$2:$KZ$3,0)</f>
        <v>#REF!</v>
      </c>
      <c r="AY53" s="172" t="e">
        <f>INDEX(Data!$LA$2:$LD$3,'Panel Glide Blinds'!AX53,'Panel Glide Blinds'!AW53)</f>
        <v>#REF!</v>
      </c>
      <c r="BB53" s="172" t="e">
        <f>IF(#REF!=Data!$QK$2,Data!$QL$1,IF(#REF!=Data!$QK$3,Data!$QM$1,IF(#REF!=Data!$QK$4,Data!$QN$1,IF(#REF!=Data!$QK$5,Data!$QO$1,IF(#REF!=Data!$QK$6,Data!$QP$1,IF(#REF!=Data!$QK$7,Data!$QQ$1,IF(#REF!=Data!$QK$8,Data!$QR$1,IF(#REF!=Data!$QK$9,Data!$QS$1,IF(#REF!=Data!$QK$10,Data!$QT$1,IF(#REF!=Data!$QK$11,Data!$QU$1))))))))))</f>
        <v>#REF!</v>
      </c>
      <c r="BC53" s="33" t="e">
        <f>IF(#REF!=Data!$QK$2,Data!$QL$17,IF(#REF!=Data!$QK$3,Data!$QM$17,IF(#REF!=Data!$QK$4,Data!$QN$17,IF(#REF!=Data!$QK$5,Data!$QO$17,IF(#REF!=Data!$QK$6,Data!$QP$17,IF(#REF!=Data!$QK$7,Data!$QQ$17,IF(#REF!=Data!$QK$8,Data!$QR$17,IF(#REF!=Data!$QK$9,Data!$QS$17,IF(#REF!=Data!$QK$10,Data!$QT$17,IF(#REF!=Data!$QK$11,Data!$QU$17))))))))))</f>
        <v>#REF!</v>
      </c>
      <c r="BD53" s="33" t="e">
        <f>IF(#REF!=Data!$PU$2,Data!$PW$1,IF(#REF!=Data!$PU$3,Data!$PW$1,IF(#REF!=Data!$PU$4,Data!$PV$1,IF(#REF!=Data!$PU$5,Data!$PV$1,))))</f>
        <v>#REF!</v>
      </c>
      <c r="BE53" s="33" t="e">
        <f>MATCH('Panel Glide Blinds'!D53,Data!$AAK$2:$AAK$15)</f>
        <v>#N/A</v>
      </c>
      <c r="BF53" s="33" t="e">
        <f>MATCH(O53,Data!$AAL$1:$AAM$1)</f>
        <v>#N/A</v>
      </c>
      <c r="BG53" s="33" t="e">
        <f>INDEX(Data!$AAL$2:$AAM$15,BE53,BF53)</f>
        <v>#N/A</v>
      </c>
      <c r="BH53" s="33" t="b">
        <f>IF(O53=Data!$ABF$1,Data!$ABD$1,IF(O53=Data!$ABF$2,Data!$ABE$1))</f>
        <v>0</v>
      </c>
      <c r="BI53" s="33" t="e">
        <f>VLOOKUP(H53,Data!$ABL$2:$ABM$8,2,FALSE)</f>
        <v>#N/A</v>
      </c>
      <c r="BJ53" s="172" t="e">
        <f>VLOOKUP(H53,Data!$ABW$2:$ABX$9,2,FALSE)</f>
        <v>#N/A</v>
      </c>
      <c r="BK53" s="172" t="e">
        <f>VLOOKUP(H53,Data!$ABW$2:$ABY$8,3,FALSE)</f>
        <v>#N/A</v>
      </c>
      <c r="BL53" s="172" t="str">
        <f t="shared" si="9"/>
        <v/>
      </c>
      <c r="BM53" s="172" t="str">
        <f t="shared" si="10"/>
        <v/>
      </c>
      <c r="BN53" s="172" t="str">
        <f t="shared" si="4"/>
        <v/>
      </c>
      <c r="BO53" s="33" t="e">
        <f t="shared" si="5"/>
        <v>#DIV/0!</v>
      </c>
      <c r="BP53" s="33" t="e">
        <f t="shared" si="6"/>
        <v>#DIV/0!</v>
      </c>
      <c r="BQ53" s="33" t="e">
        <f t="shared" si="7"/>
        <v>#DIV/0!</v>
      </c>
      <c r="BR53" s="33" t="str">
        <f t="shared" si="8"/>
        <v/>
      </c>
    </row>
    <row r="54" spans="1:70" ht="30" customHeight="1" thickTop="1" thickBot="1">
      <c r="A54" s="52">
        <v>47</v>
      </c>
      <c r="B54" s="13"/>
      <c r="C54" s="13"/>
      <c r="D54" s="19"/>
      <c r="E54" s="15"/>
      <c r="F54" s="14"/>
      <c r="G54" s="14"/>
      <c r="H54" s="14"/>
      <c r="I54" s="13"/>
      <c r="J54" s="14"/>
      <c r="K54" s="14"/>
      <c r="L54" s="525"/>
      <c r="M54" s="526"/>
      <c r="N54" s="15"/>
      <c r="O54" s="15"/>
      <c r="P54" s="15"/>
      <c r="Q54" s="13"/>
      <c r="R54" s="13"/>
      <c r="S54" s="13"/>
      <c r="T54" s="689"/>
      <c r="U54" s="690"/>
      <c r="V54" s="229"/>
      <c r="W54" s="230"/>
      <c r="X54" s="269" t="e">
        <f t="shared" si="2"/>
        <v>#N/A</v>
      </c>
      <c r="Y54" s="269" t="e">
        <f>VLOOKUP(Q54,Data!$QH$2:$QI$4,2,FALSE)</f>
        <v>#N/A</v>
      </c>
      <c r="AA54" s="269" t="e">
        <f t="shared" si="3"/>
        <v>#N/A</v>
      </c>
      <c r="AD54" s="172" t="e">
        <f>IF(#REF!=Data!$KK$2,Data!$KM$1,IF(#REF!=Data!$KK$3,Data!$KN$1,IF(#REF!=Data!$KK$4,Data!$KP$1,IF(#REF!=Data!$KK$5,Data!$KQ$1))))</f>
        <v>#REF!</v>
      </c>
      <c r="AE54" s="33" t="str">
        <f>IF(D54=Data!$W$10,Data!$QJ$1,Data!$QK$1)</f>
        <v>RollerControl</v>
      </c>
      <c r="AH54" s="33" t="b">
        <f>IF(Q54=Data!$PX$2,Data!$PZ$1,IF(Q54=Data!$PX$3,Data!$PY$1,IF(Q54=Data!$PX$4,Data!$QA$1)))</f>
        <v>0</v>
      </c>
      <c r="AJ54" s="33" t="b">
        <f>IF(Q54=Data!$PX$3,Data!$QB$1,IF(Q54=Data!$PX$2,Data!$QC$1,IF(Q54=Data!$PX$4,Data!$QD$1)))</f>
        <v>0</v>
      </c>
      <c r="AL54" s="33" t="str">
        <f>IF(D54=Data!$W$3,Data!$QF$1,IF(D54=Data!$W$4,Data!$QF$1,IF(D54=Data!$W$5,Data!$QF$1,IF(D54=Data!$W$6,Data!$QF$1,IF(D54=Data!$W$7,Data!$QF$1,IF(D54=Data!$W$8,Data!$QF$1,IF(D54=Data!$W$9,Data!$QF$1,IF(D54=Data!$W$10,Data!$QE$1,IF(D54=Data!$W$11,Data!$QF$1,IF(D54=Data!$W$12,Data!$QF$1,IF(D54=Data!$W$13,Data!$QF$1,IF(D54=Data!$W$14,Data!$QF$1,IF(D54=Data!$W$15,Data!$QF$1,IF(D54=Data!$W$16,Data!$QF$1))))))))))))))</f>
        <v>RollerBracketType2</v>
      </c>
      <c r="AV54" s="40" t="e">
        <f>IF(AND(G54&lt;2130, OR(#REF!&lt;2100)),Data!$KS$1,Data!$KT$1)</f>
        <v>#REF!</v>
      </c>
      <c r="AW54" s="172" t="e">
        <f>MATCH(#REF!,Data!$LA$1:$LD$1,0)</f>
        <v>#REF!</v>
      </c>
      <c r="AX54" s="172" t="e">
        <f>MATCH('Panel Glide Blinds'!AV54,Data!$KZ$2:$KZ$3,0)</f>
        <v>#REF!</v>
      </c>
      <c r="AY54" s="172" t="e">
        <f>INDEX(Data!$LA$2:$LD$3,'Panel Glide Blinds'!AX54,'Panel Glide Blinds'!AW54)</f>
        <v>#REF!</v>
      </c>
      <c r="BB54" s="172" t="e">
        <f>IF(#REF!=Data!$QK$2,Data!$QL$1,IF(#REF!=Data!$QK$3,Data!$QM$1,IF(#REF!=Data!$QK$4,Data!$QN$1,IF(#REF!=Data!$QK$5,Data!$QO$1,IF(#REF!=Data!$QK$6,Data!$QP$1,IF(#REF!=Data!$QK$7,Data!$QQ$1,IF(#REF!=Data!$QK$8,Data!$QR$1,IF(#REF!=Data!$QK$9,Data!$QS$1,IF(#REF!=Data!$QK$10,Data!$QT$1,IF(#REF!=Data!$QK$11,Data!$QU$1))))))))))</f>
        <v>#REF!</v>
      </c>
      <c r="BC54" s="33" t="e">
        <f>IF(#REF!=Data!$QK$2,Data!$QL$17,IF(#REF!=Data!$QK$3,Data!$QM$17,IF(#REF!=Data!$QK$4,Data!$QN$17,IF(#REF!=Data!$QK$5,Data!$QO$17,IF(#REF!=Data!$QK$6,Data!$QP$17,IF(#REF!=Data!$QK$7,Data!$QQ$17,IF(#REF!=Data!$QK$8,Data!$QR$17,IF(#REF!=Data!$QK$9,Data!$QS$17,IF(#REF!=Data!$QK$10,Data!$QT$17,IF(#REF!=Data!$QK$11,Data!$QU$17))))))))))</f>
        <v>#REF!</v>
      </c>
      <c r="BD54" s="33" t="e">
        <f>IF(#REF!=Data!$PU$2,Data!$PW$1,IF(#REF!=Data!$PU$3,Data!$PW$1,IF(#REF!=Data!$PU$4,Data!$PV$1,IF(#REF!=Data!$PU$5,Data!$PV$1,))))</f>
        <v>#REF!</v>
      </c>
      <c r="BE54" s="33" t="e">
        <f>MATCH('Panel Glide Blinds'!D54,Data!$AAK$2:$AAK$15)</f>
        <v>#N/A</v>
      </c>
      <c r="BF54" s="33" t="e">
        <f>MATCH(O54,Data!$AAL$1:$AAM$1)</f>
        <v>#N/A</v>
      </c>
      <c r="BG54" s="33" t="e">
        <f>INDEX(Data!$AAL$2:$AAM$15,BE54,BF54)</f>
        <v>#N/A</v>
      </c>
      <c r="BH54" s="33" t="b">
        <f>IF(O54=Data!$ABF$1,Data!$ABD$1,IF(O54=Data!$ABF$2,Data!$ABE$1))</f>
        <v>0</v>
      </c>
      <c r="BI54" s="33" t="e">
        <f>VLOOKUP(H54,Data!$ABL$2:$ABM$8,2,FALSE)</f>
        <v>#N/A</v>
      </c>
      <c r="BJ54" s="172" t="e">
        <f>VLOOKUP(H54,Data!$ABW$2:$ABX$9,2,FALSE)</f>
        <v>#N/A</v>
      </c>
      <c r="BK54" s="172" t="e">
        <f>VLOOKUP(H54,Data!$ABW$2:$ABY$8,3,FALSE)</f>
        <v>#N/A</v>
      </c>
      <c r="BL54" s="172" t="str">
        <f t="shared" si="9"/>
        <v/>
      </c>
      <c r="BM54" s="172" t="str">
        <f t="shared" si="10"/>
        <v/>
      </c>
      <c r="BN54" s="172" t="str">
        <f t="shared" si="4"/>
        <v/>
      </c>
      <c r="BO54" s="33" t="e">
        <f t="shared" si="5"/>
        <v>#DIV/0!</v>
      </c>
      <c r="BP54" s="33" t="e">
        <f t="shared" si="6"/>
        <v>#DIV/0!</v>
      </c>
      <c r="BQ54" s="33" t="e">
        <f t="shared" si="7"/>
        <v>#DIV/0!</v>
      </c>
      <c r="BR54" s="33" t="str">
        <f t="shared" si="8"/>
        <v/>
      </c>
    </row>
    <row r="55" spans="1:70" ht="30" customHeight="1" thickTop="1" thickBot="1">
      <c r="A55" s="52">
        <v>48</v>
      </c>
      <c r="B55" s="13"/>
      <c r="C55" s="13"/>
      <c r="D55" s="19"/>
      <c r="E55" s="15"/>
      <c r="F55" s="14"/>
      <c r="G55" s="14"/>
      <c r="H55" s="14"/>
      <c r="I55" s="13"/>
      <c r="J55" s="14"/>
      <c r="K55" s="14"/>
      <c r="L55" s="525"/>
      <c r="M55" s="526"/>
      <c r="N55" s="15"/>
      <c r="O55" s="15"/>
      <c r="P55" s="15"/>
      <c r="Q55" s="13"/>
      <c r="R55" s="13"/>
      <c r="S55" s="13"/>
      <c r="T55" s="689"/>
      <c r="U55" s="690"/>
      <c r="V55" s="229"/>
      <c r="W55" s="230"/>
      <c r="X55" s="269" t="e">
        <f t="shared" si="2"/>
        <v>#N/A</v>
      </c>
      <c r="Y55" s="269" t="e">
        <f>VLOOKUP(Q55,Data!$QH$2:$QI$4,2,FALSE)</f>
        <v>#N/A</v>
      </c>
      <c r="AA55" s="269" t="e">
        <f t="shared" si="3"/>
        <v>#N/A</v>
      </c>
      <c r="AD55" s="172" t="e">
        <f>IF(#REF!=Data!$KK$2,Data!$KM$1,IF(#REF!=Data!$KK$3,Data!$KN$1,IF(#REF!=Data!$KK$4,Data!$KP$1,IF(#REF!=Data!$KK$5,Data!$KQ$1))))</f>
        <v>#REF!</v>
      </c>
      <c r="AE55" s="33" t="str">
        <f>IF(D55=Data!$W$10,Data!$QJ$1,Data!$QK$1)</f>
        <v>RollerControl</v>
      </c>
      <c r="AH55" s="33" t="b">
        <f>IF(Q55=Data!$PX$2,Data!$PZ$1,IF(Q55=Data!$PX$3,Data!$PY$1,IF(Q55=Data!$PX$4,Data!$QA$1)))</f>
        <v>0</v>
      </c>
      <c r="AJ55" s="33" t="b">
        <f>IF(Q55=Data!$PX$3,Data!$QB$1,IF(Q55=Data!$PX$2,Data!$QC$1,IF(Q55=Data!$PX$4,Data!$QD$1)))</f>
        <v>0</v>
      </c>
      <c r="AL55" s="33" t="str">
        <f>IF(D55=Data!$W$3,Data!$QF$1,IF(D55=Data!$W$4,Data!$QF$1,IF(D55=Data!$W$5,Data!$QF$1,IF(D55=Data!$W$6,Data!$QF$1,IF(D55=Data!$W$7,Data!$QF$1,IF(D55=Data!$W$8,Data!$QF$1,IF(D55=Data!$W$9,Data!$QF$1,IF(D55=Data!$W$10,Data!$QE$1,IF(D55=Data!$W$11,Data!$QF$1,IF(D55=Data!$W$12,Data!$QF$1,IF(D55=Data!$W$13,Data!$QF$1,IF(D55=Data!$W$14,Data!$QF$1,IF(D55=Data!$W$15,Data!$QF$1,IF(D55=Data!$W$16,Data!$QF$1))))))))))))))</f>
        <v>RollerBracketType2</v>
      </c>
      <c r="AV55" s="40" t="e">
        <f>IF(AND(G55&lt;2130, OR(#REF!&lt;2100)),Data!$KS$1,Data!$KT$1)</f>
        <v>#REF!</v>
      </c>
      <c r="AW55" s="172" t="e">
        <f>MATCH(#REF!,Data!$LA$1:$LD$1,0)</f>
        <v>#REF!</v>
      </c>
      <c r="AX55" s="172" t="e">
        <f>MATCH('Panel Glide Blinds'!AV55,Data!$KZ$2:$KZ$3,0)</f>
        <v>#REF!</v>
      </c>
      <c r="AY55" s="172" t="e">
        <f>INDEX(Data!$LA$2:$LD$3,'Panel Glide Blinds'!AX55,'Panel Glide Blinds'!AW55)</f>
        <v>#REF!</v>
      </c>
      <c r="BB55" s="172" t="e">
        <f>IF(#REF!=Data!$QK$2,Data!$QL$1,IF(#REF!=Data!$QK$3,Data!$QM$1,IF(#REF!=Data!$QK$4,Data!$QN$1,IF(#REF!=Data!$QK$5,Data!$QO$1,IF(#REF!=Data!$QK$6,Data!$QP$1,IF(#REF!=Data!$QK$7,Data!$QQ$1,IF(#REF!=Data!$QK$8,Data!$QR$1,IF(#REF!=Data!$QK$9,Data!$QS$1,IF(#REF!=Data!$QK$10,Data!$QT$1,IF(#REF!=Data!$QK$11,Data!$QU$1))))))))))</f>
        <v>#REF!</v>
      </c>
      <c r="BC55" s="33" t="e">
        <f>IF(#REF!=Data!$QK$2,Data!$QL$17,IF(#REF!=Data!$QK$3,Data!$QM$17,IF(#REF!=Data!$QK$4,Data!$QN$17,IF(#REF!=Data!$QK$5,Data!$QO$17,IF(#REF!=Data!$QK$6,Data!$QP$17,IF(#REF!=Data!$QK$7,Data!$QQ$17,IF(#REF!=Data!$QK$8,Data!$QR$17,IF(#REF!=Data!$QK$9,Data!$QS$17,IF(#REF!=Data!$QK$10,Data!$QT$17,IF(#REF!=Data!$QK$11,Data!$QU$17))))))))))</f>
        <v>#REF!</v>
      </c>
      <c r="BD55" s="33" t="e">
        <f>IF(#REF!=Data!$PU$2,Data!$PW$1,IF(#REF!=Data!$PU$3,Data!$PW$1,IF(#REF!=Data!$PU$4,Data!$PV$1,IF(#REF!=Data!$PU$5,Data!$PV$1,))))</f>
        <v>#REF!</v>
      </c>
      <c r="BE55" s="33" t="e">
        <f>MATCH('Panel Glide Blinds'!D55,Data!$AAK$2:$AAK$15)</f>
        <v>#N/A</v>
      </c>
      <c r="BF55" s="33" t="e">
        <f>MATCH(O55,Data!$AAL$1:$AAM$1)</f>
        <v>#N/A</v>
      </c>
      <c r="BG55" s="33" t="e">
        <f>INDEX(Data!$AAL$2:$AAM$15,BE55,BF55)</f>
        <v>#N/A</v>
      </c>
      <c r="BH55" s="33" t="b">
        <f>IF(O55=Data!$ABF$1,Data!$ABD$1,IF(O55=Data!$ABF$2,Data!$ABE$1))</f>
        <v>0</v>
      </c>
      <c r="BI55" s="33" t="e">
        <f>VLOOKUP(H55,Data!$ABL$2:$ABM$8,2,FALSE)</f>
        <v>#N/A</v>
      </c>
      <c r="BJ55" s="172" t="e">
        <f>VLOOKUP(H55,Data!$ABW$2:$ABX$9,2,FALSE)</f>
        <v>#N/A</v>
      </c>
      <c r="BK55" s="172" t="e">
        <f>VLOOKUP(H55,Data!$ABW$2:$ABY$8,3,FALSE)</f>
        <v>#N/A</v>
      </c>
      <c r="BL55" s="172" t="str">
        <f t="shared" si="9"/>
        <v/>
      </c>
      <c r="BM55" s="172" t="str">
        <f t="shared" si="10"/>
        <v/>
      </c>
      <c r="BN55" s="172" t="str">
        <f t="shared" si="4"/>
        <v/>
      </c>
      <c r="BO55" s="33" t="e">
        <f t="shared" si="5"/>
        <v>#DIV/0!</v>
      </c>
      <c r="BP55" s="33" t="e">
        <f t="shared" si="6"/>
        <v>#DIV/0!</v>
      </c>
      <c r="BQ55" s="33" t="e">
        <f t="shared" si="7"/>
        <v>#DIV/0!</v>
      </c>
      <c r="BR55" s="33" t="str">
        <f t="shared" si="8"/>
        <v/>
      </c>
    </row>
    <row r="56" spans="1:70" ht="30" customHeight="1" thickTop="1" thickBot="1">
      <c r="A56" s="52">
        <v>49</v>
      </c>
      <c r="B56" s="13"/>
      <c r="C56" s="13"/>
      <c r="D56" s="19"/>
      <c r="E56" s="15"/>
      <c r="F56" s="14"/>
      <c r="G56" s="14"/>
      <c r="H56" s="14"/>
      <c r="I56" s="13"/>
      <c r="J56" s="14"/>
      <c r="K56" s="14"/>
      <c r="L56" s="525"/>
      <c r="M56" s="526"/>
      <c r="N56" s="15"/>
      <c r="O56" s="15"/>
      <c r="P56" s="15"/>
      <c r="Q56" s="13"/>
      <c r="R56" s="13"/>
      <c r="S56" s="13"/>
      <c r="T56" s="689"/>
      <c r="U56" s="690"/>
      <c r="V56" s="229"/>
      <c r="W56" s="230"/>
      <c r="X56" s="269" t="e">
        <f t="shared" si="2"/>
        <v>#N/A</v>
      </c>
      <c r="Y56" s="269" t="e">
        <f>VLOOKUP(Q56,Data!$QH$2:$QI$4,2,FALSE)</f>
        <v>#N/A</v>
      </c>
      <c r="AA56" s="269" t="e">
        <f t="shared" si="3"/>
        <v>#N/A</v>
      </c>
      <c r="AD56" s="172" t="e">
        <f>IF(#REF!=Data!$KK$2,Data!$KM$1,IF(#REF!=Data!$KK$3,Data!$KN$1,IF(#REF!=Data!$KK$4,Data!$KP$1,IF(#REF!=Data!$KK$5,Data!$KQ$1))))</f>
        <v>#REF!</v>
      </c>
      <c r="AE56" s="33" t="str">
        <f>IF(D56=Data!$W$10,Data!$QJ$1,Data!$QK$1)</f>
        <v>RollerControl</v>
      </c>
      <c r="AH56" s="33" t="b">
        <f>IF(Q56=Data!$PX$2,Data!$PZ$1,IF(Q56=Data!$PX$3,Data!$PY$1,IF(Q56=Data!$PX$4,Data!$QA$1)))</f>
        <v>0</v>
      </c>
      <c r="AJ56" s="33" t="b">
        <f>IF(Q56=Data!$PX$3,Data!$QB$1,IF(Q56=Data!$PX$2,Data!$QC$1,IF(Q56=Data!$PX$4,Data!$QD$1)))</f>
        <v>0</v>
      </c>
      <c r="AL56" s="33" t="str">
        <f>IF(D56=Data!$W$3,Data!$QF$1,IF(D56=Data!$W$4,Data!$QF$1,IF(D56=Data!$W$5,Data!$QF$1,IF(D56=Data!$W$6,Data!$QF$1,IF(D56=Data!$W$7,Data!$QF$1,IF(D56=Data!$W$8,Data!$QF$1,IF(D56=Data!$W$9,Data!$QF$1,IF(D56=Data!$W$10,Data!$QE$1,IF(D56=Data!$W$11,Data!$QF$1,IF(D56=Data!$W$12,Data!$QF$1,IF(D56=Data!$W$13,Data!$QF$1,IF(D56=Data!$W$14,Data!$QF$1,IF(D56=Data!$W$15,Data!$QF$1,IF(D56=Data!$W$16,Data!$QF$1))))))))))))))</f>
        <v>RollerBracketType2</v>
      </c>
      <c r="AV56" s="40" t="e">
        <f>IF(AND(G56&lt;2130, OR(#REF!&lt;2100)),Data!$KS$1,Data!$KT$1)</f>
        <v>#REF!</v>
      </c>
      <c r="AW56" s="172" t="e">
        <f>MATCH(#REF!,Data!$LA$1:$LD$1,0)</f>
        <v>#REF!</v>
      </c>
      <c r="AX56" s="172" t="e">
        <f>MATCH('Panel Glide Blinds'!AV56,Data!$KZ$2:$KZ$3,0)</f>
        <v>#REF!</v>
      </c>
      <c r="AY56" s="172" t="e">
        <f>INDEX(Data!$LA$2:$LD$3,'Panel Glide Blinds'!AX56,'Panel Glide Blinds'!AW56)</f>
        <v>#REF!</v>
      </c>
      <c r="BB56" s="172" t="e">
        <f>IF(#REF!=Data!$QK$2,Data!$QL$1,IF(#REF!=Data!$QK$3,Data!$QM$1,IF(#REF!=Data!$QK$4,Data!$QN$1,IF(#REF!=Data!$QK$5,Data!$QO$1,IF(#REF!=Data!$QK$6,Data!$QP$1,IF(#REF!=Data!$QK$7,Data!$QQ$1,IF(#REF!=Data!$QK$8,Data!$QR$1,IF(#REF!=Data!$QK$9,Data!$QS$1,IF(#REF!=Data!$QK$10,Data!$QT$1,IF(#REF!=Data!$QK$11,Data!$QU$1))))))))))</f>
        <v>#REF!</v>
      </c>
      <c r="BC56" s="33" t="e">
        <f>IF(#REF!=Data!$QK$2,Data!$QL$17,IF(#REF!=Data!$QK$3,Data!$QM$17,IF(#REF!=Data!$QK$4,Data!$QN$17,IF(#REF!=Data!$QK$5,Data!$QO$17,IF(#REF!=Data!$QK$6,Data!$QP$17,IF(#REF!=Data!$QK$7,Data!$QQ$17,IF(#REF!=Data!$QK$8,Data!$QR$17,IF(#REF!=Data!$QK$9,Data!$QS$17,IF(#REF!=Data!$QK$10,Data!$QT$17,IF(#REF!=Data!$QK$11,Data!$QU$17))))))))))</f>
        <v>#REF!</v>
      </c>
      <c r="BD56" s="33" t="e">
        <f>IF(#REF!=Data!$PU$2,Data!$PW$1,IF(#REF!=Data!$PU$3,Data!$PW$1,IF(#REF!=Data!$PU$4,Data!$PV$1,IF(#REF!=Data!$PU$5,Data!$PV$1,))))</f>
        <v>#REF!</v>
      </c>
      <c r="BE56" s="33" t="e">
        <f>MATCH('Panel Glide Blinds'!D56,Data!$AAK$2:$AAK$15)</f>
        <v>#N/A</v>
      </c>
      <c r="BF56" s="33" t="e">
        <f>MATCH(O56,Data!$AAL$1:$AAM$1)</f>
        <v>#N/A</v>
      </c>
      <c r="BG56" s="33" t="e">
        <f>INDEX(Data!$AAL$2:$AAM$15,BE56,BF56)</f>
        <v>#N/A</v>
      </c>
      <c r="BH56" s="33" t="b">
        <f>IF(O56=Data!$ABF$1,Data!$ABD$1,IF(O56=Data!$ABF$2,Data!$ABE$1))</f>
        <v>0</v>
      </c>
      <c r="BI56" s="33" t="e">
        <f>VLOOKUP(H56,Data!$ABL$2:$ABM$8,2,FALSE)</f>
        <v>#N/A</v>
      </c>
      <c r="BJ56" s="172" t="e">
        <f>VLOOKUP(H56,Data!$ABW$2:$ABX$9,2,FALSE)</f>
        <v>#N/A</v>
      </c>
      <c r="BK56" s="172" t="e">
        <f>VLOOKUP(H56,Data!$ABW$2:$ABY$8,3,FALSE)</f>
        <v>#N/A</v>
      </c>
      <c r="BL56" s="172" t="str">
        <f t="shared" si="9"/>
        <v/>
      </c>
      <c r="BM56" s="172" t="str">
        <f t="shared" si="10"/>
        <v/>
      </c>
      <c r="BN56" s="172" t="str">
        <f t="shared" si="4"/>
        <v/>
      </c>
      <c r="BO56" s="33" t="e">
        <f t="shared" si="5"/>
        <v>#DIV/0!</v>
      </c>
      <c r="BP56" s="33" t="e">
        <f t="shared" si="6"/>
        <v>#DIV/0!</v>
      </c>
      <c r="BQ56" s="33" t="e">
        <f t="shared" si="7"/>
        <v>#DIV/0!</v>
      </c>
      <c r="BR56" s="33" t="str">
        <f t="shared" si="8"/>
        <v/>
      </c>
    </row>
    <row r="57" spans="1:70" ht="30" customHeight="1" thickTop="1" thickBot="1">
      <c r="A57" s="53">
        <v>50</v>
      </c>
      <c r="B57" s="21"/>
      <c r="C57" s="21"/>
      <c r="D57" s="45"/>
      <c r="E57" s="44"/>
      <c r="F57" s="22"/>
      <c r="G57" s="22"/>
      <c r="H57" s="22"/>
      <c r="I57" s="21"/>
      <c r="J57" s="22"/>
      <c r="K57" s="46"/>
      <c r="L57" s="589"/>
      <c r="M57" s="590"/>
      <c r="N57" s="47"/>
      <c r="O57" s="47"/>
      <c r="P57" s="44"/>
      <c r="Q57" s="45"/>
      <c r="R57" s="21"/>
      <c r="S57" s="21"/>
      <c r="T57" s="693"/>
      <c r="U57" s="694"/>
      <c r="V57" s="229"/>
      <c r="W57" s="230"/>
      <c r="X57" s="269" t="e">
        <f t="shared" si="2"/>
        <v>#N/A</v>
      </c>
      <c r="Y57" s="269" t="e">
        <f>VLOOKUP(Q57,Data!$QH$2:$QI$4,2,FALSE)</f>
        <v>#N/A</v>
      </c>
      <c r="AA57" s="269" t="e">
        <f t="shared" si="3"/>
        <v>#N/A</v>
      </c>
      <c r="AD57" s="172" t="e">
        <f>IF(#REF!=Data!$KK$2,Data!$KM$1,IF(#REF!=Data!$KK$3,Data!$KN$1,IF(#REF!=Data!$KK$4,Data!$KP$1,IF(#REF!=Data!$KK$5,Data!$KQ$1))))</f>
        <v>#REF!</v>
      </c>
      <c r="AE57" s="33" t="str">
        <f>IF(D57=Data!$W$10,Data!$QJ$1,Data!$QK$1)</f>
        <v>RollerControl</v>
      </c>
      <c r="AH57" s="33" t="b">
        <f>IF(Q57=Data!$PX$2,Data!$PZ$1,IF(Q57=Data!$PX$3,Data!$PY$1,IF(Q57=Data!$PX$4,Data!$QA$1)))</f>
        <v>0</v>
      </c>
      <c r="AJ57" s="33" t="b">
        <f>IF(Q57=Data!$PX$3,Data!$QB$1,IF(Q57=Data!$PX$2,Data!$QC$1,IF(Q57=Data!$PX$4,Data!$QD$1)))</f>
        <v>0</v>
      </c>
      <c r="AL57" s="33" t="str">
        <f>IF(D57=Data!$W$3,Data!$QF$1,IF(D57=Data!$W$4,Data!$QF$1,IF(D57=Data!$W$5,Data!$QF$1,IF(D57=Data!$W$6,Data!$QF$1,IF(D57=Data!$W$7,Data!$QF$1,IF(D57=Data!$W$8,Data!$QF$1,IF(D57=Data!$W$9,Data!$QF$1,IF(D57=Data!$W$10,Data!$QE$1,IF(D57=Data!$W$11,Data!$QF$1,IF(D57=Data!$W$12,Data!$QF$1,IF(D57=Data!$W$13,Data!$QF$1,IF(D57=Data!$W$14,Data!$QF$1,IF(D57=Data!$W$15,Data!$QF$1,IF(D57=Data!$W$16,Data!$QF$1))))))))))))))</f>
        <v>RollerBracketType2</v>
      </c>
      <c r="AV57" s="40" t="e">
        <f>IF(AND(G57&lt;2130, OR(#REF!&lt;2100)),Data!$KS$1,Data!$KT$1)</f>
        <v>#REF!</v>
      </c>
      <c r="AW57" s="172" t="e">
        <f>MATCH(#REF!,Data!$LA$1:$LD$1,0)</f>
        <v>#REF!</v>
      </c>
      <c r="AX57" s="172" t="e">
        <f>MATCH('Panel Glide Blinds'!AV57,Data!$KZ$2:$KZ$3,0)</f>
        <v>#REF!</v>
      </c>
      <c r="AY57" s="172" t="e">
        <f>INDEX(Data!$LA$2:$LD$3,'Panel Glide Blinds'!AX57,'Panel Glide Blinds'!AW57)</f>
        <v>#REF!</v>
      </c>
      <c r="BB57" s="172" t="e">
        <f>IF(#REF!=Data!$QK$2,Data!$QL$1,IF(#REF!=Data!$QK$3,Data!$QM$1,IF(#REF!=Data!$QK$4,Data!$QN$1,IF(#REF!=Data!$QK$5,Data!$QO$1,IF(#REF!=Data!$QK$6,Data!$QP$1,IF(#REF!=Data!$QK$7,Data!$QQ$1,IF(#REF!=Data!$QK$8,Data!$QR$1,IF(#REF!=Data!$QK$9,Data!$QS$1,IF(#REF!=Data!$QK$10,Data!$QT$1,IF(#REF!=Data!$QK$11,Data!$QU$1))))))))))</f>
        <v>#REF!</v>
      </c>
      <c r="BC57" s="33" t="e">
        <f>IF(#REF!=Data!$QK$2,Data!$QL$17,IF(#REF!=Data!$QK$3,Data!$QM$17,IF(#REF!=Data!$QK$4,Data!$QN$17,IF(#REF!=Data!$QK$5,Data!$QO$17,IF(#REF!=Data!$QK$6,Data!$QP$17,IF(#REF!=Data!$QK$7,Data!$QQ$17,IF(#REF!=Data!$QK$8,Data!$QR$17,IF(#REF!=Data!$QK$9,Data!$QS$17,IF(#REF!=Data!$QK$10,Data!$QT$17,IF(#REF!=Data!$QK$11,Data!$QU$17))))))))))</f>
        <v>#REF!</v>
      </c>
      <c r="BD57" s="33" t="e">
        <f>IF(#REF!=Data!$PU$2,Data!$PW$1,IF(#REF!=Data!$PU$3,Data!$PW$1,IF(#REF!=Data!$PU$4,Data!$PV$1,IF(#REF!=Data!$PU$5,Data!$PV$1,))))</f>
        <v>#REF!</v>
      </c>
      <c r="BE57" s="33" t="e">
        <f>MATCH('Panel Glide Blinds'!D57,Data!$AAK$2:$AAK$15)</f>
        <v>#N/A</v>
      </c>
      <c r="BF57" s="33" t="e">
        <f>MATCH(O57,Data!$AAL$1:$AAM$1)</f>
        <v>#N/A</v>
      </c>
      <c r="BG57" s="33" t="e">
        <f>INDEX(Data!$AAL$2:$AAM$15,BE57,BF57)</f>
        <v>#N/A</v>
      </c>
      <c r="BH57" s="33" t="b">
        <f>IF(O57=Data!$ABF$1,Data!$ABD$1,IF(O57=Data!$ABF$2,Data!$ABE$1))</f>
        <v>0</v>
      </c>
      <c r="BI57" s="33" t="e">
        <f>VLOOKUP(H57,Data!$ABL$2:$ABM$8,2,FALSE)</f>
        <v>#N/A</v>
      </c>
      <c r="BJ57" s="172" t="e">
        <f>VLOOKUP(H57,Data!$ABW$2:$ABX$9,2,FALSE)</f>
        <v>#N/A</v>
      </c>
      <c r="BK57" s="172" t="e">
        <f>VLOOKUP(H57,Data!$ABW$2:$ABY$8,3,FALSE)</f>
        <v>#N/A</v>
      </c>
      <c r="BL57" s="172" t="str">
        <f t="shared" si="9"/>
        <v/>
      </c>
      <c r="BM57" s="172" t="str">
        <f t="shared" si="10"/>
        <v/>
      </c>
      <c r="BN57" s="172" t="str">
        <f t="shared" si="4"/>
        <v/>
      </c>
      <c r="BO57" s="33" t="e">
        <f t="shared" si="5"/>
        <v>#DIV/0!</v>
      </c>
      <c r="BP57" s="33" t="e">
        <f t="shared" si="6"/>
        <v>#DIV/0!</v>
      </c>
      <c r="BQ57" s="33" t="e">
        <f t="shared" si="7"/>
        <v>#DIV/0!</v>
      </c>
      <c r="BR57" s="33" t="str">
        <f t="shared" si="8"/>
        <v/>
      </c>
    </row>
    <row r="58" spans="1:70" ht="15.75" thickTop="1">
      <c r="A58" s="77"/>
    </row>
  </sheetData>
  <sheetProtection password="A0FF" sheet="1" objects="1" scenarios="1"/>
  <mergeCells count="120">
    <mergeCell ref="T57:U57"/>
    <mergeCell ref="K5:L5"/>
    <mergeCell ref="M5:T5"/>
    <mergeCell ref="T52:U52"/>
    <mergeCell ref="T53:U53"/>
    <mergeCell ref="T54:U54"/>
    <mergeCell ref="T55:U55"/>
    <mergeCell ref="T56:U56"/>
    <mergeCell ref="T47:U47"/>
    <mergeCell ref="T48:U48"/>
    <mergeCell ref="T49:U49"/>
    <mergeCell ref="T50:U50"/>
    <mergeCell ref="T51:U51"/>
    <mergeCell ref="T42:U42"/>
    <mergeCell ref="T43:U43"/>
    <mergeCell ref="T44:U44"/>
    <mergeCell ref="T45:U45"/>
    <mergeCell ref="T46:U46"/>
    <mergeCell ref="T38:U38"/>
    <mergeCell ref="T37:U37"/>
    <mergeCell ref="T39:U39"/>
    <mergeCell ref="T40:U40"/>
    <mergeCell ref="T41:U41"/>
    <mergeCell ref="T32:U32"/>
    <mergeCell ref="T33:U33"/>
    <mergeCell ref="T34:U34"/>
    <mergeCell ref="T35:U35"/>
    <mergeCell ref="T36:U36"/>
    <mergeCell ref="T27:U27"/>
    <mergeCell ref="T28:U28"/>
    <mergeCell ref="T29:U29"/>
    <mergeCell ref="T30:U30"/>
    <mergeCell ref="T31:U31"/>
    <mergeCell ref="T22:U22"/>
    <mergeCell ref="T23:U23"/>
    <mergeCell ref="T24:U24"/>
    <mergeCell ref="T25:U25"/>
    <mergeCell ref="T26:U26"/>
    <mergeCell ref="T17:U17"/>
    <mergeCell ref="T18:U18"/>
    <mergeCell ref="T20:U20"/>
    <mergeCell ref="T19:U19"/>
    <mergeCell ref="T21:U21"/>
    <mergeCell ref="L56:M56"/>
    <mergeCell ref="L57:M57"/>
    <mergeCell ref="L53:M53"/>
    <mergeCell ref="L54:M54"/>
    <mergeCell ref="L55:M55"/>
    <mergeCell ref="L50:M50"/>
    <mergeCell ref="L51:M51"/>
    <mergeCell ref="L52:M52"/>
    <mergeCell ref="L47:M47"/>
    <mergeCell ref="L48:M48"/>
    <mergeCell ref="L49:M49"/>
    <mergeCell ref="L44:M44"/>
    <mergeCell ref="L45:M45"/>
    <mergeCell ref="L46:M46"/>
    <mergeCell ref="L41:M41"/>
    <mergeCell ref="L42:M42"/>
    <mergeCell ref="L43:M43"/>
    <mergeCell ref="L38:M38"/>
    <mergeCell ref="L39:M39"/>
    <mergeCell ref="L40:M40"/>
    <mergeCell ref="L35:M35"/>
    <mergeCell ref="L36:M36"/>
    <mergeCell ref="L37:M37"/>
    <mergeCell ref="L32:M32"/>
    <mergeCell ref="L33:M33"/>
    <mergeCell ref="L34:M34"/>
    <mergeCell ref="L29:M29"/>
    <mergeCell ref="L30:M30"/>
    <mergeCell ref="L31:M31"/>
    <mergeCell ref="L26:M26"/>
    <mergeCell ref="L27:M27"/>
    <mergeCell ref="L28:M28"/>
    <mergeCell ref="L23:M23"/>
    <mergeCell ref="L24:M24"/>
    <mergeCell ref="L25:M25"/>
    <mergeCell ref="L21:M21"/>
    <mergeCell ref="L22:M22"/>
    <mergeCell ref="L17:M17"/>
    <mergeCell ref="L18:M18"/>
    <mergeCell ref="L19:M19"/>
    <mergeCell ref="L16:M16"/>
    <mergeCell ref="L11:M11"/>
    <mergeCell ref="L12:M12"/>
    <mergeCell ref="L13:M13"/>
    <mergeCell ref="L20:M20"/>
    <mergeCell ref="A6:I6"/>
    <mergeCell ref="K6:L6"/>
    <mergeCell ref="L14:M14"/>
    <mergeCell ref="L15:M15"/>
    <mergeCell ref="L8:M8"/>
    <mergeCell ref="L9:M9"/>
    <mergeCell ref="M6:T6"/>
    <mergeCell ref="L10:M10"/>
    <mergeCell ref="L7:M7"/>
    <mergeCell ref="T12:U12"/>
    <mergeCell ref="T13:U13"/>
    <mergeCell ref="T14:U14"/>
    <mergeCell ref="T15:U15"/>
    <mergeCell ref="T16:U16"/>
    <mergeCell ref="T7:U7"/>
    <mergeCell ref="T8:U8"/>
    <mergeCell ref="T9:U9"/>
    <mergeCell ref="T10:U10"/>
    <mergeCell ref="T11:U11"/>
    <mergeCell ref="M1:T1"/>
    <mergeCell ref="M2:T2"/>
    <mergeCell ref="M3:T3"/>
    <mergeCell ref="M4:T4"/>
    <mergeCell ref="A4:C4"/>
    <mergeCell ref="D4:E4"/>
    <mergeCell ref="F4:G4"/>
    <mergeCell ref="F2:I2"/>
    <mergeCell ref="H4:I4"/>
    <mergeCell ref="K1:L1"/>
    <mergeCell ref="K2:L2"/>
    <mergeCell ref="K3:L3"/>
    <mergeCell ref="K4:L4"/>
  </mergeCells>
  <conditionalFormatting sqref="C8:C57">
    <cfRule type="cellIs" dxfId="65" priority="11" stopIfTrue="1" operator="greaterThan">
      <formula>1</formula>
    </cfRule>
  </conditionalFormatting>
  <conditionalFormatting sqref="R8:R57">
    <cfRule type="expression" dxfId="64" priority="10">
      <formula>AA8="Enter"</formula>
    </cfRule>
  </conditionalFormatting>
  <conditionalFormatting sqref="S8:T57">
    <cfRule type="expression" dxfId="63" priority="8">
      <formula>X8="Enter"</formula>
    </cfRule>
  </conditionalFormatting>
  <conditionalFormatting sqref="M6">
    <cfRule type="notContainsBlanks" dxfId="62" priority="7">
      <formula>LEN(TRIM(M6))&gt;0</formula>
    </cfRule>
  </conditionalFormatting>
  <conditionalFormatting sqref="F8:F57">
    <cfRule type="expression" dxfId="61" priority="4">
      <formula>BN8="Check Size"</formula>
    </cfRule>
  </conditionalFormatting>
  <conditionalFormatting sqref="H8:H57">
    <cfRule type="expression" dxfId="60" priority="3">
      <formula>BN8="Check Size"</formula>
    </cfRule>
  </conditionalFormatting>
  <conditionalFormatting sqref="F8:F57">
    <cfRule type="expression" dxfId="59" priority="2">
      <formula>BR8="Check Size"</formula>
    </cfRule>
  </conditionalFormatting>
  <conditionalFormatting sqref="H8:H57">
    <cfRule type="expression" dxfId="58" priority="1">
      <formula>BR8="Check Size"</formula>
    </cfRule>
  </conditionalFormatting>
  <dataValidations count="17">
    <dataValidation type="list" allowBlank="1" showInputMessage="1" showErrorMessage="1" errorTitle="Invalid Entry" error="Invalid Entry" sqref="S8:S57" xr:uid="{00000000-0002-0000-0700-000000000000}">
      <formula1>INDIRECT(SUBSTITUTE(AJ8," ","_"))</formula1>
    </dataValidation>
    <dataValidation type="list" allowBlank="1" showInputMessage="1" showErrorMessage="1" errorTitle="Invalid Entry" error="Invalid Entry" sqref="R8:R57" xr:uid="{00000000-0002-0000-0700-000001000000}">
      <formula1>INDIRECT(SUBSTITUTE(AH8," ","_"))</formula1>
    </dataValidation>
    <dataValidation type="list" allowBlank="1" showInputMessage="1" showErrorMessage="1" errorTitle="Invalid Entry" error="Invalid Entry" sqref="E8:E57" xr:uid="{00000000-0002-0000-0700-000002000000}">
      <formula1>INDIRECT(SUBSTITUTE(SUBSTITUTE(SUBSTITUTE(D8," ","_"),"(",""),")",""))</formula1>
    </dataValidation>
    <dataValidation type="list" allowBlank="1" showInputMessage="1" showErrorMessage="1" errorTitle="Invalid Entry" error="Invalid Entry" sqref="P8:P57" xr:uid="{00000000-0002-0000-0700-000003000000}">
      <formula1>INDIRECT(SUBSTITUTE(BH8," ","_"))</formula1>
    </dataValidation>
    <dataValidation type="list" allowBlank="1" showInputMessage="1" showErrorMessage="1" errorTitle="Invalid Entry" error="Invalid Entry _x000a_" sqref="I8:I57" xr:uid="{00000000-0002-0000-0700-000004000000}">
      <formula1>INDIRECT(SUBSTITUTE(SUBSTITUTE(SUBSTITUTE(BI8," ","_"),"(",""),")",""))</formula1>
    </dataValidation>
    <dataValidation allowBlank="1" sqref="V1:W57 T8:T57 U8" xr:uid="{00000000-0002-0000-0700-000005000000}"/>
    <dataValidation operator="equal" allowBlank="1" showDropDown="1" showInputMessage="1" showErrorMessage="1" errorTitle="Invalid Entry" error="Invalid Entry" sqref="AV8:AV57" xr:uid="{00000000-0002-0000-0700-000006000000}"/>
    <dataValidation type="list" allowBlank="1" showInputMessage="1" showErrorMessage="1" errorTitle="Invalid Entry" error="Invalid Entry" sqref="Q8:Q57" xr:uid="{00000000-0002-0000-0700-000007000000}">
      <formula1>RollerUniversalPelmet</formula1>
    </dataValidation>
    <dataValidation type="list" allowBlank="1" showInputMessage="1" showErrorMessage="1" errorTitle="Invalid Entry" error="Invalid Entry" sqref="N8:N57" xr:uid="{00000000-0002-0000-0700-000008000000}">
      <formula1>"Clear Anodised, Black, White, White Birch"</formula1>
    </dataValidation>
    <dataValidation type="whole" errorStyle="warning" allowBlank="1" showInputMessage="1" showErrorMessage="1" errorTitle="Be Aware" error="Minimum Height is 500mm._x000a_Maximum Height is 3000mm._x000a__x000a_Additional sizes outside these Maximum's may be able to be manufactured." sqref="G8:G57" xr:uid="{00000000-0002-0000-0700-000009000000}">
      <formula1>500</formula1>
      <formula2>3000</formula2>
    </dataValidation>
    <dataValidation type="list" allowBlank="1" showInputMessage="1" showErrorMessage="1" errorTitle="Invalid Entry" error="Invalid Entry" sqref="D8:D57" xr:uid="{00000000-0002-0000-0700-00000A000000}">
      <formula1>Panel_Glide_Blind_Product</formula1>
    </dataValidation>
    <dataValidation type="list" allowBlank="1" showInputMessage="1" showErrorMessage="1" errorTitle="Invalid Entry" error="Invalid Entry" sqref="J8:J57" xr:uid="{00000000-0002-0000-0700-00000B000000}">
      <formula1>WindowType</formula1>
    </dataValidation>
    <dataValidation type="list" allowBlank="1" showInputMessage="1" showErrorMessage="1" errorTitle="Invalid Entry" error="Invalid Entry" sqref="L8:M57" xr:uid="{00000000-0002-0000-0700-00000C000000}">
      <formula1>"NAM, ACT"</formula1>
    </dataValidation>
    <dataValidation type="list" allowBlank="1" showInputMessage="1" showErrorMessage="1" errorTitle="Invalid Entry" error="Invalid Entry" sqref="K8:K57" xr:uid="{00000000-0002-0000-0700-00000D000000}">
      <formula1>"Face Fit, Recess Fit"</formula1>
    </dataValidation>
    <dataValidation type="list" allowBlank="1" showInputMessage="1" showErrorMessage="1" errorTitle="Invalid Entry" error="Invalid Entry" sqref="O8:O57" xr:uid="{00000000-0002-0000-0700-00000E000000}">
      <formula1>"Bottom Rail, Sewn In Pocket"</formula1>
    </dataValidation>
    <dataValidation type="list" allowBlank="1" showInputMessage="1" showErrorMessage="1" errorTitle="Be Aware" error="Minimum Number of Panels is 2._x000a_Maximum Number of Panels is 9. _x000a_" sqref="H8:H57" xr:uid="{00000000-0002-0000-0700-00000F000000}">
      <formula1>Panel_Quantity</formula1>
    </dataValidation>
    <dataValidation type="whole" errorStyle="warning" allowBlank="1" showInputMessage="1" showErrorMessage="1" errorTitle="Be Aware" error="Minimum &amp; Maximum Widths; _x000a__x000a_For 3 Track options; _x000a_Minimum Width is 1200mm. _x000a_Maximum Width is 3000mm. _x000a__x000a_For 6 Track options; _x000a_Minimum Width is 1600mm. _x000a_Maximum Width is 5500mm. " sqref="F8:F57" xr:uid="{00000000-0002-0000-0700-000010000000}">
      <formula1>1200</formula1>
      <formula2>5500</formula2>
    </dataValidation>
  </dataValidations>
  <printOptions horizontalCentered="1"/>
  <pageMargins left="0.23622047244094491" right="0.23622047244094491" top="0.23622047244094491" bottom="0.23622047244094491" header="0.19685039370078741" footer="0.19685039370078741"/>
  <pageSetup paperSize="9" scale="47"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A1:GM58"/>
  <sheetViews>
    <sheetView zoomScale="85" zoomScaleNormal="85" zoomScaleSheetLayoutView="85" workbookViewId="0">
      <selection activeCell="B8" sqref="B8"/>
    </sheetView>
  </sheetViews>
  <sheetFormatPr defaultRowHeight="15"/>
  <cols>
    <col min="1" max="1" width="7.140625" style="54" customWidth="1"/>
    <col min="2" max="2" width="13.7109375" style="54" customWidth="1"/>
    <col min="3" max="3" width="8.42578125" style="54" customWidth="1"/>
    <col min="4" max="4" width="21.5703125" style="54" customWidth="1"/>
    <col min="5" max="5" width="29.28515625" style="54" customWidth="1"/>
    <col min="6" max="6" width="23" style="54" customWidth="1"/>
    <col min="7" max="7" width="13" style="54" customWidth="1"/>
    <col min="8" max="8" width="12.42578125" style="54" customWidth="1"/>
    <col min="9" max="9" width="15.85546875" style="54" customWidth="1"/>
    <col min="10" max="10" width="11.42578125" style="54" customWidth="1"/>
    <col min="11" max="11" width="12.85546875" style="54" customWidth="1"/>
    <col min="12" max="13" width="13.7109375" style="54" customWidth="1"/>
    <col min="14" max="14" width="16.5703125" style="54" customWidth="1"/>
    <col min="15" max="15" width="15.28515625" style="54" customWidth="1"/>
    <col min="16" max="16" width="15.140625" style="54" customWidth="1"/>
    <col min="17" max="18" width="19" style="54" customWidth="1"/>
    <col min="19" max="19" width="13" style="54" customWidth="1"/>
    <col min="20" max="20" width="40.42578125" style="54" customWidth="1"/>
    <col min="21" max="21" width="15.42578125" style="54" customWidth="1"/>
    <col min="22" max="22" width="44.5703125" style="65" customWidth="1"/>
    <col min="23" max="23" width="22.5703125" style="33" hidden="1" customWidth="1"/>
    <col min="24" max="25" width="9.140625" style="33" hidden="1" customWidth="1"/>
    <col min="26" max="26" width="14.7109375" style="172" hidden="1" customWidth="1"/>
    <col min="27" max="27" width="37.42578125" style="172" hidden="1" customWidth="1"/>
    <col min="28" max="29" width="23.28515625" style="172" hidden="1" customWidth="1"/>
    <col min="30" max="30" width="25.140625" style="33" hidden="1" customWidth="1"/>
    <col min="31" max="32" width="9.140625" style="33" hidden="1" customWidth="1"/>
    <col min="33" max="33" width="21.85546875" style="33" hidden="1" customWidth="1"/>
    <col min="34" max="34" width="9.140625" style="33" hidden="1" customWidth="1"/>
    <col min="35" max="35" width="24" style="33" hidden="1" customWidth="1"/>
    <col min="36" max="46" width="9.140625" style="33" hidden="1" customWidth="1"/>
    <col min="47" max="47" width="13.85546875" style="33" hidden="1" customWidth="1"/>
    <col min="48" max="48" width="45" style="172" hidden="1" customWidth="1"/>
    <col min="49" max="49" width="53" style="33" hidden="1" customWidth="1"/>
    <col min="50" max="50" width="28.85546875" style="33" hidden="1" customWidth="1"/>
    <col min="51" max="51" width="35.140625" style="33" hidden="1" customWidth="1"/>
    <col min="52" max="52" width="24.42578125" style="33" hidden="1" customWidth="1"/>
    <col min="53" max="53" width="15.140625" style="33" hidden="1" customWidth="1"/>
    <col min="54" max="56" width="9.140625" style="33" hidden="1" customWidth="1"/>
    <col min="57" max="57" width="43.42578125" style="33" hidden="1" customWidth="1"/>
    <col min="58" max="58" width="51.7109375" style="33" hidden="1" customWidth="1"/>
    <col min="59" max="59" width="57.140625" style="33" hidden="1" customWidth="1"/>
    <col min="60" max="60" width="61.42578125" style="33" hidden="1" customWidth="1"/>
    <col min="61" max="61" width="10.85546875" style="33" hidden="1" customWidth="1"/>
    <col min="62" max="62" width="12.7109375" style="33" hidden="1" customWidth="1"/>
    <col min="63" max="63" width="11.28515625" style="33" hidden="1" customWidth="1"/>
    <col min="64" max="64" width="16.85546875" style="33" hidden="1" customWidth="1"/>
    <col min="65" max="65" width="18.5703125" style="33" hidden="1" customWidth="1"/>
    <col min="66" max="66" width="25" style="33" hidden="1" customWidth="1"/>
    <col min="67" max="67" width="39.5703125" style="33" hidden="1" customWidth="1"/>
    <col min="68" max="68" width="22.7109375" style="33" hidden="1" customWidth="1"/>
    <col min="69" max="69" width="29.42578125" style="33" hidden="1" customWidth="1"/>
    <col min="70" max="70" width="32.28515625" style="33" hidden="1" customWidth="1"/>
    <col min="71" max="72" width="19.28515625" style="33" hidden="1" customWidth="1"/>
    <col min="73" max="73" width="28.28515625" style="33" hidden="1" customWidth="1"/>
    <col min="74" max="75" width="18.85546875" style="33" hidden="1" customWidth="1"/>
    <col min="76" max="76" width="19.42578125" style="33" hidden="1" customWidth="1"/>
    <col min="77" max="77" width="19.28515625" style="33" hidden="1" customWidth="1"/>
    <col min="78" max="78" width="30.28515625" style="33" hidden="1" customWidth="1"/>
    <col min="79" max="79" width="16.28515625" style="33" hidden="1" customWidth="1"/>
    <col min="80" max="80" width="17.28515625" style="33" hidden="1" customWidth="1"/>
    <col min="81" max="81" width="18.42578125" style="33" hidden="1" customWidth="1"/>
    <col min="82" max="82" width="16.28515625" style="33" hidden="1" customWidth="1"/>
    <col min="83" max="83" width="18.28515625" style="33" hidden="1" customWidth="1"/>
    <col min="84" max="84" width="16.42578125" style="33" hidden="1" customWidth="1"/>
    <col min="85" max="85" width="19.140625" style="33" hidden="1" customWidth="1"/>
    <col min="86" max="86" width="20.140625" style="33" hidden="1" customWidth="1"/>
    <col min="87" max="87" width="18" style="33" hidden="1" customWidth="1"/>
    <col min="88" max="88" width="26.7109375" style="33" hidden="1" customWidth="1"/>
    <col min="89" max="89" width="16.7109375" style="33" hidden="1" customWidth="1"/>
    <col min="90" max="90" width="16" style="33" hidden="1" customWidth="1"/>
    <col min="91" max="91" width="16.7109375" style="33" hidden="1" customWidth="1"/>
    <col min="92" max="92" width="14.7109375" style="33" hidden="1" customWidth="1"/>
    <col min="93" max="95" width="25.5703125" style="33" hidden="1" customWidth="1"/>
    <col min="96" max="108" width="28.5703125" style="33" hidden="1" customWidth="1"/>
    <col min="109" max="109" width="24.42578125" style="33" hidden="1" customWidth="1"/>
    <col min="110" max="110" width="21.7109375" style="172" hidden="1" customWidth="1"/>
    <col min="111" max="111" width="27.28515625" style="172" hidden="1" customWidth="1"/>
    <col min="112" max="112" width="26" style="172" hidden="1" customWidth="1"/>
    <col min="113" max="113" width="9.140625" style="33" hidden="1" customWidth="1"/>
    <col min="114" max="114" width="19" style="33" hidden="1" customWidth="1"/>
    <col min="115" max="128" width="17.5703125" style="172" hidden="1" customWidth="1"/>
    <col min="129" max="139" width="22.85546875" style="172" hidden="1" customWidth="1"/>
    <col min="140" max="140" width="22.85546875" style="449" hidden="1" customWidth="1"/>
    <col min="141" max="141" width="22.85546875" style="172" hidden="1" customWidth="1"/>
    <col min="142" max="143" width="22.85546875" style="449" hidden="1" customWidth="1"/>
    <col min="144" max="148" width="22.85546875" style="172" hidden="1" customWidth="1"/>
    <col min="149" max="149" width="13.28515625" style="33" hidden="1" customWidth="1"/>
    <col min="150" max="151" width="9.140625" style="98" hidden="1" customWidth="1"/>
    <col min="152" max="152" width="14.5703125" style="98" hidden="1" customWidth="1"/>
    <col min="153" max="153" width="23.28515625" style="98" hidden="1" customWidth="1"/>
    <col min="154" max="156" width="23.28515625" style="33" hidden="1" customWidth="1"/>
    <col min="157" max="157" width="37.7109375" style="33" hidden="1" customWidth="1"/>
    <col min="158" max="159" width="33" style="33" hidden="1" customWidth="1"/>
    <col min="160" max="160" width="22.140625" style="33" hidden="1" customWidth="1"/>
    <col min="161" max="161" width="45.28515625" style="33" hidden="1" customWidth="1"/>
    <col min="162" max="162" width="23.85546875" style="33" hidden="1" customWidth="1"/>
    <col min="163" max="165" width="24" style="33" hidden="1" customWidth="1"/>
    <col min="166" max="166" width="26.28515625" style="33" hidden="1" customWidth="1"/>
    <col min="167" max="167" width="21.140625" style="33" hidden="1" customWidth="1"/>
    <col min="168" max="169" width="27.140625" style="33" hidden="1" customWidth="1"/>
    <col min="170" max="170" width="29.7109375" style="33" hidden="1" customWidth="1"/>
    <col min="171" max="195" width="9.140625" style="33" hidden="1" customWidth="1"/>
    <col min="196" max="208" width="0" style="33" hidden="1" customWidth="1"/>
    <col min="209" max="16384" width="9.140625" style="33"/>
  </cols>
  <sheetData>
    <row r="1" spans="1:170" ht="26.25" customHeight="1">
      <c r="A1" s="554"/>
      <c r="B1" s="670"/>
      <c r="C1" s="670"/>
      <c r="D1" s="670"/>
      <c r="E1" s="115"/>
      <c r="F1" s="171"/>
      <c r="G1" s="115"/>
      <c r="H1" s="115"/>
      <c r="I1" s="285"/>
      <c r="J1" s="115"/>
      <c r="K1" s="685" t="s">
        <v>0</v>
      </c>
      <c r="L1" s="686"/>
      <c r="M1" s="705">
        <f>Summary!D3</f>
        <v>0</v>
      </c>
      <c r="N1" s="706"/>
      <c r="O1" s="706"/>
      <c r="P1" s="706"/>
      <c r="Q1" s="706"/>
      <c r="R1" s="706"/>
      <c r="S1" s="706"/>
      <c r="T1" s="707"/>
      <c r="U1" s="261"/>
      <c r="V1" s="258"/>
      <c r="FM1" s="33" t="s">
        <v>733</v>
      </c>
      <c r="FN1" s="33" t="s">
        <v>152</v>
      </c>
    </row>
    <row r="2" spans="1:170" ht="19.5">
      <c r="A2" s="671"/>
      <c r="B2" s="672"/>
      <c r="C2" s="672"/>
      <c r="D2" s="672"/>
      <c r="E2" s="709"/>
      <c r="F2" s="711"/>
      <c r="G2" s="712"/>
      <c r="H2" s="712"/>
      <c r="I2" s="713"/>
      <c r="J2" s="49"/>
      <c r="K2" s="685" t="s">
        <v>141</v>
      </c>
      <c r="L2" s="686"/>
      <c r="M2" s="699">
        <f>Summary!D6</f>
        <v>0</v>
      </c>
      <c r="N2" s="700"/>
      <c r="O2" s="700"/>
      <c r="P2" s="700"/>
      <c r="Q2" s="700"/>
      <c r="R2" s="700"/>
      <c r="S2" s="700"/>
      <c r="T2" s="701"/>
      <c r="U2" s="261"/>
      <c r="V2" s="258"/>
      <c r="FL2" s="311" t="s">
        <v>21</v>
      </c>
      <c r="FM2" s="33" t="str">
        <f>$BP$7</f>
        <v>Chain Cord Length</v>
      </c>
      <c r="FN2" s="33" t="str">
        <f>$BO$7</f>
        <v>Chain Colour</v>
      </c>
    </row>
    <row r="3" spans="1:170" ht="21.75" customHeight="1">
      <c r="A3" s="673"/>
      <c r="B3" s="674"/>
      <c r="C3" s="674"/>
      <c r="D3" s="674"/>
      <c r="E3" s="710"/>
      <c r="F3" s="708" t="s">
        <v>2304</v>
      </c>
      <c r="G3" s="708"/>
      <c r="H3" s="708"/>
      <c r="I3" s="708"/>
      <c r="J3" s="116"/>
      <c r="K3" s="685" t="s">
        <v>143</v>
      </c>
      <c r="L3" s="686"/>
      <c r="M3" s="699">
        <f>Summary!D4</f>
        <v>0</v>
      </c>
      <c r="N3" s="700"/>
      <c r="O3" s="700"/>
      <c r="P3" s="700"/>
      <c r="Q3" s="700"/>
      <c r="R3" s="700"/>
      <c r="S3" s="700"/>
      <c r="T3" s="701"/>
      <c r="U3" s="62"/>
      <c r="V3" s="63"/>
      <c r="FL3" s="311" t="s">
        <v>28</v>
      </c>
      <c r="FM3" s="33" t="str">
        <f>$BP$7</f>
        <v>Chain Cord Length</v>
      </c>
      <c r="FN3" s="33" t="str">
        <f>$BO$7</f>
        <v>Chain Colour</v>
      </c>
    </row>
    <row r="4" spans="1:170" ht="17.25" customHeight="1">
      <c r="A4" s="566" t="s">
        <v>452</v>
      </c>
      <c r="B4" s="574"/>
      <c r="C4" s="574"/>
      <c r="D4" s="574"/>
      <c r="E4" s="567"/>
      <c r="F4" s="564"/>
      <c r="G4" s="684"/>
      <c r="H4" s="684"/>
      <c r="I4" s="565"/>
      <c r="J4" s="286"/>
      <c r="K4" s="685" t="s">
        <v>978</v>
      </c>
      <c r="L4" s="686"/>
      <c r="M4" s="699">
        <f>Summary!D7</f>
        <v>0</v>
      </c>
      <c r="N4" s="700"/>
      <c r="O4" s="700"/>
      <c r="P4" s="700"/>
      <c r="Q4" s="700"/>
      <c r="R4" s="700"/>
      <c r="S4" s="700"/>
      <c r="T4" s="701"/>
      <c r="U4" s="261"/>
      <c r="V4" s="259"/>
      <c r="FL4" s="311" t="s">
        <v>1815</v>
      </c>
      <c r="FM4" s="33" t="str">
        <f>$FK$7</f>
        <v>ChainMotor</v>
      </c>
      <c r="FN4" s="33" t="str">
        <f>$FK$7</f>
        <v>ChainMotor</v>
      </c>
    </row>
    <row r="5" spans="1:170" ht="17.25" customHeight="1" thickBot="1">
      <c r="A5" s="96" t="s">
        <v>1811</v>
      </c>
      <c r="B5" s="97"/>
      <c r="C5" s="97"/>
      <c r="D5" s="43"/>
      <c r="E5" s="43"/>
      <c r="F5" s="118"/>
      <c r="G5" s="43"/>
      <c r="H5" s="117"/>
      <c r="I5" s="287"/>
      <c r="J5" s="288" t="s">
        <v>1036</v>
      </c>
      <c r="K5" s="685" t="s">
        <v>144</v>
      </c>
      <c r="L5" s="686"/>
      <c r="M5" s="702">
        <f>Summary!D8</f>
        <v>0</v>
      </c>
      <c r="N5" s="703"/>
      <c r="O5" s="703"/>
      <c r="P5" s="703"/>
      <c r="Q5" s="703"/>
      <c r="R5" s="703"/>
      <c r="S5" s="703"/>
      <c r="T5" s="704"/>
      <c r="U5" s="261"/>
      <c r="V5" s="259"/>
      <c r="DD5" s="456" t="s">
        <v>2179</v>
      </c>
      <c r="DJ5" s="63"/>
      <c r="DK5" s="289" t="s">
        <v>1551</v>
      </c>
      <c r="DL5" s="289" t="s">
        <v>1552</v>
      </c>
      <c r="DM5" s="290" t="s">
        <v>1553</v>
      </c>
      <c r="DN5" s="291" t="s">
        <v>1554</v>
      </c>
      <c r="DO5" s="289" t="s">
        <v>1555</v>
      </c>
      <c r="DP5" s="292" t="s">
        <v>1556</v>
      </c>
      <c r="DQ5" s="293" t="s">
        <v>1557</v>
      </c>
      <c r="DR5" s="294" t="s">
        <v>1558</v>
      </c>
      <c r="DS5" s="295" t="s">
        <v>1559</v>
      </c>
      <c r="DT5" s="296" t="s">
        <v>1560</v>
      </c>
      <c r="DU5" s="289" t="s">
        <v>1561</v>
      </c>
      <c r="DV5" s="297" t="s">
        <v>1562</v>
      </c>
      <c r="DW5" s="295" t="s">
        <v>1563</v>
      </c>
      <c r="DX5" s="296" t="s">
        <v>1564</v>
      </c>
      <c r="DY5" s="296"/>
      <c r="DZ5" s="296" t="s">
        <v>1825</v>
      </c>
      <c r="EA5" s="296" t="s">
        <v>1851</v>
      </c>
      <c r="EB5" s="296"/>
      <c r="EC5" s="296"/>
      <c r="ED5" s="296"/>
      <c r="EE5" s="296"/>
      <c r="EF5" s="296"/>
      <c r="EG5" s="296" t="s">
        <v>2237</v>
      </c>
      <c r="EH5" s="296" t="s">
        <v>2238</v>
      </c>
      <c r="EI5" s="296" t="s">
        <v>2239</v>
      </c>
      <c r="EJ5" s="450"/>
      <c r="EK5" s="451"/>
      <c r="EL5" s="450"/>
      <c r="EM5" s="450"/>
      <c r="EN5" s="296" t="s">
        <v>1824</v>
      </c>
      <c r="EO5" s="296"/>
      <c r="EP5" s="296"/>
      <c r="EQ5" s="296"/>
      <c r="ER5" s="296"/>
      <c r="ES5" s="173" t="s">
        <v>1565</v>
      </c>
      <c r="FL5" s="311" t="s">
        <v>1816</v>
      </c>
      <c r="FM5" s="33" t="str">
        <f>$FK$7</f>
        <v>ChainMotor</v>
      </c>
      <c r="FN5" s="33" t="str">
        <f>$FK$7</f>
        <v>ChainMotor</v>
      </c>
    </row>
    <row r="6" spans="1:170" ht="15.75" thickBot="1">
      <c r="A6" s="584" t="s">
        <v>723</v>
      </c>
      <c r="B6" s="585"/>
      <c r="C6" s="585"/>
      <c r="D6" s="585"/>
      <c r="E6" s="585"/>
      <c r="F6" s="585"/>
      <c r="G6" s="585"/>
      <c r="H6" s="585"/>
      <c r="I6" s="586"/>
      <c r="J6" s="298">
        <v>22</v>
      </c>
      <c r="K6" s="687" t="s">
        <v>654</v>
      </c>
      <c r="L6" s="688"/>
      <c r="M6" s="687"/>
      <c r="N6" s="698"/>
      <c r="O6" s="698"/>
      <c r="P6" s="698"/>
      <c r="Q6" s="698"/>
      <c r="R6" s="698"/>
      <c r="S6" s="698"/>
      <c r="T6" s="688"/>
      <c r="BA6" s="33" t="s">
        <v>2264</v>
      </c>
      <c r="BI6" s="33" t="s">
        <v>1566</v>
      </c>
      <c r="CA6" s="299" t="s">
        <v>1567</v>
      </c>
      <c r="CB6" s="299" t="s">
        <v>1568</v>
      </c>
      <c r="CC6" s="300" t="s">
        <v>26</v>
      </c>
      <c r="CD6" s="301" t="s">
        <v>26</v>
      </c>
      <c r="CE6" s="299" t="s">
        <v>1569</v>
      </c>
      <c r="CF6" s="302" t="s">
        <v>1177</v>
      </c>
      <c r="CG6" s="303" t="s">
        <v>26</v>
      </c>
      <c r="CH6" s="304" t="s">
        <v>1570</v>
      </c>
      <c r="CI6" s="305" t="s">
        <v>1571</v>
      </c>
      <c r="CJ6" s="306" t="s">
        <v>1572</v>
      </c>
      <c r="CK6" s="299" t="s">
        <v>1573</v>
      </c>
      <c r="CL6" s="307" t="s">
        <v>1574</v>
      </c>
      <c r="CM6" s="305" t="s">
        <v>26</v>
      </c>
      <c r="CN6" s="306" t="s">
        <v>1575</v>
      </c>
      <c r="CO6" s="299" t="s">
        <v>1797</v>
      </c>
      <c r="CP6" s="299" t="s">
        <v>1821</v>
      </c>
      <c r="CQ6" s="299" t="s">
        <v>1822</v>
      </c>
      <c r="CR6" s="440" t="s">
        <v>1823</v>
      </c>
      <c r="CS6" s="299" t="s">
        <v>2120</v>
      </c>
      <c r="CT6" s="439" t="s">
        <v>2112</v>
      </c>
      <c r="CU6" s="439" t="s">
        <v>2114</v>
      </c>
      <c r="CV6" s="439" t="s">
        <v>2116</v>
      </c>
      <c r="CW6" s="439" t="s">
        <v>2117</v>
      </c>
      <c r="CX6" s="439" t="s">
        <v>2121</v>
      </c>
      <c r="CY6" s="439" t="s">
        <v>2122</v>
      </c>
      <c r="CZ6" s="439" t="s">
        <v>2118</v>
      </c>
      <c r="DA6" s="463" t="s">
        <v>2261</v>
      </c>
      <c r="DB6" s="463" t="s">
        <v>2262</v>
      </c>
      <c r="DC6" s="463" t="s">
        <v>2263</v>
      </c>
      <c r="DJ6" s="308"/>
      <c r="DK6" s="289" t="s">
        <v>1567</v>
      </c>
      <c r="DL6" s="289" t="s">
        <v>2128</v>
      </c>
      <c r="DM6" s="290" t="s">
        <v>26</v>
      </c>
      <c r="DN6" s="291" t="s">
        <v>26</v>
      </c>
      <c r="DO6" s="289" t="s">
        <v>1569</v>
      </c>
      <c r="DP6" s="292" t="s">
        <v>2127</v>
      </c>
      <c r="DQ6" s="293" t="s">
        <v>26</v>
      </c>
      <c r="DR6" s="294" t="s">
        <v>1570</v>
      </c>
      <c r="DS6" s="295" t="s">
        <v>1571</v>
      </c>
      <c r="DT6" s="296" t="s">
        <v>1572</v>
      </c>
      <c r="DU6" s="289" t="s">
        <v>1573</v>
      </c>
      <c r="DV6" s="297" t="s">
        <v>1574</v>
      </c>
      <c r="DW6" s="295" t="s">
        <v>26</v>
      </c>
      <c r="DX6" s="296" t="s">
        <v>1575</v>
      </c>
      <c r="DY6" s="296" t="s">
        <v>1797</v>
      </c>
      <c r="DZ6" s="296" t="s">
        <v>1821</v>
      </c>
      <c r="EA6" s="296" t="s">
        <v>1822</v>
      </c>
      <c r="EB6" s="296" t="s">
        <v>2057</v>
      </c>
      <c r="EC6" s="296" t="s">
        <v>2058</v>
      </c>
      <c r="ED6" s="296" t="s">
        <v>2056</v>
      </c>
      <c r="EE6" s="296" t="s">
        <v>2054</v>
      </c>
      <c r="EF6" s="296" t="s">
        <v>2055</v>
      </c>
      <c r="EG6" s="296" t="s">
        <v>2235</v>
      </c>
      <c r="EH6" s="296" t="s">
        <v>2234</v>
      </c>
      <c r="EI6" s="296" t="s">
        <v>2236</v>
      </c>
      <c r="EJ6" s="450" t="s">
        <v>1573</v>
      </c>
      <c r="EK6" s="451" t="s">
        <v>2060</v>
      </c>
      <c r="EL6" s="450" t="s">
        <v>2059</v>
      </c>
      <c r="EM6" s="450" t="s">
        <v>2185</v>
      </c>
      <c r="EN6" s="296" t="s">
        <v>1823</v>
      </c>
      <c r="EO6" s="296" t="s">
        <v>2266</v>
      </c>
      <c r="EP6" s="296" t="s">
        <v>2267</v>
      </c>
      <c r="EQ6" s="296" t="s">
        <v>2268</v>
      </c>
      <c r="ER6" s="296" t="s">
        <v>2269</v>
      </c>
      <c r="ES6" s="173" t="s">
        <v>332</v>
      </c>
    </row>
    <row r="7" spans="1:170" ht="47.25" customHeight="1" thickTop="1" thickBot="1">
      <c r="A7" s="66" t="s">
        <v>146</v>
      </c>
      <c r="B7" s="67" t="s">
        <v>147</v>
      </c>
      <c r="C7" s="68" t="s">
        <v>164</v>
      </c>
      <c r="D7" s="68" t="s">
        <v>1576</v>
      </c>
      <c r="E7" s="68" t="s">
        <v>182</v>
      </c>
      <c r="F7" s="68" t="s">
        <v>152</v>
      </c>
      <c r="G7" s="67" t="s">
        <v>148</v>
      </c>
      <c r="H7" s="68" t="s">
        <v>149</v>
      </c>
      <c r="I7" s="69" t="s">
        <v>14</v>
      </c>
      <c r="J7" s="69" t="s">
        <v>165</v>
      </c>
      <c r="K7" s="282" t="s">
        <v>13</v>
      </c>
      <c r="L7" s="67" t="s">
        <v>1577</v>
      </c>
      <c r="M7" s="93" t="s">
        <v>166</v>
      </c>
      <c r="N7" s="93" t="s">
        <v>1536</v>
      </c>
      <c r="O7" s="68" t="s">
        <v>167</v>
      </c>
      <c r="P7" s="68" t="s">
        <v>168</v>
      </c>
      <c r="Q7" s="67" t="s">
        <v>1578</v>
      </c>
      <c r="R7" s="67" t="s">
        <v>1579</v>
      </c>
      <c r="S7" s="238" t="s">
        <v>1580</v>
      </c>
      <c r="T7" s="76" t="s">
        <v>203</v>
      </c>
      <c r="U7" s="231"/>
      <c r="V7" s="231"/>
      <c r="W7" s="33" t="s">
        <v>1072</v>
      </c>
      <c r="X7" s="33" t="s">
        <v>1170</v>
      </c>
      <c r="Z7" s="172" t="s">
        <v>1171</v>
      </c>
      <c r="AC7" s="172" t="s">
        <v>841</v>
      </c>
      <c r="AD7" s="33" t="s">
        <v>1129</v>
      </c>
      <c r="AG7" s="33" t="s">
        <v>1151</v>
      </c>
      <c r="AI7" s="33" t="s">
        <v>186</v>
      </c>
      <c r="AV7" s="172" t="s">
        <v>1436</v>
      </c>
      <c r="AW7" s="33" t="s">
        <v>168</v>
      </c>
      <c r="AX7" s="33" t="s">
        <v>1446</v>
      </c>
      <c r="AY7" s="33" t="s">
        <v>1447</v>
      </c>
      <c r="AZ7" s="33" t="s">
        <v>1448</v>
      </c>
      <c r="BA7" s="33" t="s">
        <v>2282</v>
      </c>
      <c r="BB7" s="33" t="s">
        <v>2283</v>
      </c>
      <c r="BE7" s="33" t="s">
        <v>1581</v>
      </c>
      <c r="BF7" s="33" t="s">
        <v>1582</v>
      </c>
      <c r="BG7" s="33" t="s">
        <v>1577</v>
      </c>
      <c r="BH7" s="33" t="s">
        <v>166</v>
      </c>
      <c r="BI7" s="33" t="s">
        <v>1583</v>
      </c>
      <c r="BJ7" s="33" t="s">
        <v>1584</v>
      </c>
      <c r="BK7" s="33" t="s">
        <v>1585</v>
      </c>
      <c r="BL7" s="33" t="s">
        <v>1586</v>
      </c>
      <c r="BM7" s="33" t="s">
        <v>1587</v>
      </c>
      <c r="BN7" s="33" t="s">
        <v>209</v>
      </c>
      <c r="BO7" s="33" t="s">
        <v>168</v>
      </c>
      <c r="BP7" s="33" t="s">
        <v>1588</v>
      </c>
      <c r="BR7" s="33" t="s">
        <v>1589</v>
      </c>
      <c r="BS7" s="33" t="s">
        <v>1590</v>
      </c>
      <c r="BT7" s="33" t="s">
        <v>1591</v>
      </c>
      <c r="BU7" s="33" t="s">
        <v>1592</v>
      </c>
      <c r="BV7" s="33" t="s">
        <v>1593</v>
      </c>
      <c r="BW7" s="33" t="s">
        <v>2265</v>
      </c>
      <c r="BX7" s="33" t="s">
        <v>1594</v>
      </c>
      <c r="BY7" s="33" t="s">
        <v>1595</v>
      </c>
      <c r="BZ7" s="33" t="s">
        <v>182</v>
      </c>
      <c r="CA7" s="299" t="s">
        <v>1551</v>
      </c>
      <c r="CB7" s="299" t="s">
        <v>1552</v>
      </c>
      <c r="CC7" s="300" t="s">
        <v>1553</v>
      </c>
      <c r="CD7" s="301" t="s">
        <v>1554</v>
      </c>
      <c r="CE7" s="299" t="s">
        <v>1555</v>
      </c>
      <c r="CF7" s="302" t="s">
        <v>1556</v>
      </c>
      <c r="CG7" s="303" t="s">
        <v>1557</v>
      </c>
      <c r="CH7" s="304" t="s">
        <v>1558</v>
      </c>
      <c r="CI7" s="305" t="s">
        <v>1559</v>
      </c>
      <c r="CJ7" s="306" t="s">
        <v>1560</v>
      </c>
      <c r="CK7" s="299" t="s">
        <v>1561</v>
      </c>
      <c r="CL7" s="307" t="s">
        <v>1562</v>
      </c>
      <c r="CM7" s="305" t="s">
        <v>1563</v>
      </c>
      <c r="CN7" s="306" t="s">
        <v>1564</v>
      </c>
      <c r="CO7" s="306" t="s">
        <v>1806</v>
      </c>
      <c r="CP7" s="306" t="s">
        <v>1825</v>
      </c>
      <c r="CQ7" s="306" t="s">
        <v>1851</v>
      </c>
      <c r="CR7" s="441" t="s">
        <v>1824</v>
      </c>
      <c r="CS7" s="441" t="s">
        <v>2066</v>
      </c>
      <c r="CT7" s="448" t="s">
        <v>2113</v>
      </c>
      <c r="CU7" s="448" t="s">
        <v>2115</v>
      </c>
      <c r="CV7" s="448" t="s">
        <v>2119</v>
      </c>
      <c r="CW7" s="448" t="s">
        <v>2123</v>
      </c>
      <c r="CX7" s="448" t="s">
        <v>2124</v>
      </c>
      <c r="CY7" s="448" t="s">
        <v>2125</v>
      </c>
      <c r="CZ7" s="448" t="s">
        <v>2126</v>
      </c>
      <c r="DA7" s="464" t="s">
        <v>2237</v>
      </c>
      <c r="DB7" s="464" t="s">
        <v>2238</v>
      </c>
      <c r="DC7" s="464" t="s">
        <v>2239</v>
      </c>
      <c r="DD7" s="455" t="s">
        <v>2184</v>
      </c>
      <c r="DE7" s="433" t="s">
        <v>1596</v>
      </c>
      <c r="DF7" s="239" t="s">
        <v>1597</v>
      </c>
      <c r="DG7" s="239" t="s">
        <v>1598</v>
      </c>
      <c r="DH7" s="239" t="s">
        <v>1599</v>
      </c>
      <c r="DJ7" s="308" t="s">
        <v>1583</v>
      </c>
      <c r="DK7" s="308" t="str">
        <f>$CA$7</f>
        <v>B1_Colour</v>
      </c>
      <c r="DL7" s="308" t="str">
        <f>$CB$7</f>
        <v>B10_Colour</v>
      </c>
      <c r="DM7" s="308" t="str">
        <f>$CC$7</f>
        <v>BL1_Colour</v>
      </c>
      <c r="DN7" s="308" t="str">
        <f>$CC$7</f>
        <v>BL1_Colour</v>
      </c>
      <c r="DO7" s="308" t="str">
        <f>$CE$7</f>
        <v>BL2_Colour</v>
      </c>
      <c r="DP7" s="308" t="str">
        <f>$CF$7</f>
        <v>BL9_Colour</v>
      </c>
      <c r="DQ7" s="308" t="str">
        <f>$CC$7</f>
        <v>BL1_Colour</v>
      </c>
      <c r="DR7" s="309" t="str">
        <f t="shared" ref="DR7:DT7" si="0">$ES$5</f>
        <v>ColourNA</v>
      </c>
      <c r="DS7" s="309" t="str">
        <f t="shared" si="0"/>
        <v>ColourNA</v>
      </c>
      <c r="DT7" s="309" t="str">
        <f t="shared" si="0"/>
        <v>ColourNA</v>
      </c>
      <c r="DU7" s="308" t="str">
        <f>$CK$7</f>
        <v>LV1_Colour</v>
      </c>
      <c r="DV7" s="308" t="str">
        <f>$CL$7</f>
        <v>LV2_Colour</v>
      </c>
      <c r="DW7" s="308" t="str">
        <f>$CC$7</f>
        <v>BL1_Colour</v>
      </c>
      <c r="DX7" s="309" t="str">
        <f t="shared" ref="DX7" si="1">$ES$5</f>
        <v>ColourNA</v>
      </c>
      <c r="DY7" s="383" t="str">
        <f>$CO$7</f>
        <v>BL20_Colour</v>
      </c>
      <c r="DZ7" s="383" t="str">
        <f>CP7</f>
        <v>BL30_Colour</v>
      </c>
      <c r="EA7" s="383" t="str">
        <f>CQ7</f>
        <v>BL2PRD_Colour</v>
      </c>
      <c r="EB7" s="383" t="str">
        <f>CW7</f>
        <v>BL58_Colour</v>
      </c>
      <c r="EC7" s="383" t="str">
        <f>CS7</f>
        <v>BL46_Colour</v>
      </c>
      <c r="ED7" s="383" t="str">
        <f>CV7</f>
        <v>BL50_Colour</v>
      </c>
      <c r="EE7" s="383" t="str">
        <f>CT7</f>
        <v>BL48_Colour</v>
      </c>
      <c r="EF7" s="383" t="str">
        <f>CU7</f>
        <v>BL52_Colour</v>
      </c>
      <c r="EG7" s="383" t="str">
        <f>$DA$7</f>
        <v>BK10_Colour</v>
      </c>
      <c r="EH7" s="383" t="str">
        <f>DB7</f>
        <v>BK50_Colour</v>
      </c>
      <c r="EI7" s="383" t="str">
        <f>DC7</f>
        <v>BK20_Colour</v>
      </c>
      <c r="EJ7" s="309" t="str">
        <f>$CK$7</f>
        <v>LV1_Colour</v>
      </c>
      <c r="EK7" s="309" t="str">
        <f>$ES$5</f>
        <v>ColourNA</v>
      </c>
      <c r="EL7" s="309" t="str">
        <f>$ES$5</f>
        <v>ColourNA</v>
      </c>
      <c r="EM7" s="383" t="str">
        <f>DD7</f>
        <v>GRS1_Colour</v>
      </c>
      <c r="EN7" s="383" t="str">
        <f>CR7</f>
        <v>B5_Colour</v>
      </c>
      <c r="EO7" s="309" t="str">
        <f t="shared" ref="EM7:ER9" si="2">$ES$5</f>
        <v>ColourNA</v>
      </c>
      <c r="EP7" s="309" t="str">
        <f t="shared" si="2"/>
        <v>ColourNA</v>
      </c>
      <c r="EQ7" s="309" t="str">
        <f t="shared" si="2"/>
        <v>ColourNA</v>
      </c>
      <c r="ER7" s="309" t="str">
        <f t="shared" si="2"/>
        <v>ColourNA</v>
      </c>
      <c r="ET7" s="310" t="s">
        <v>1600</v>
      </c>
      <c r="EU7" s="310" t="s">
        <v>1601</v>
      </c>
      <c r="EV7" s="310" t="s">
        <v>1602</v>
      </c>
      <c r="EW7" s="296" t="s">
        <v>2278</v>
      </c>
      <c r="EX7" s="296" t="s">
        <v>2279</v>
      </c>
      <c r="EY7" s="296" t="s">
        <v>2280</v>
      </c>
      <c r="EZ7" s="296" t="s">
        <v>2281</v>
      </c>
      <c r="FA7" s="33" t="s">
        <v>1603</v>
      </c>
      <c r="FB7" s="33" t="s">
        <v>1604</v>
      </c>
      <c r="FC7" s="33" t="s">
        <v>1599</v>
      </c>
      <c r="FD7" s="33" t="s">
        <v>1605</v>
      </c>
      <c r="FE7" s="33" t="s">
        <v>1606</v>
      </c>
      <c r="FF7" s="33" t="s">
        <v>1607</v>
      </c>
      <c r="FG7" s="310" t="s">
        <v>1608</v>
      </c>
      <c r="FH7" s="310" t="s">
        <v>1609</v>
      </c>
      <c r="FI7" s="310" t="s">
        <v>1610</v>
      </c>
      <c r="FJ7" s="311" t="s">
        <v>1611</v>
      </c>
      <c r="FK7" s="33" t="s">
        <v>1814</v>
      </c>
      <c r="FL7" s="33" t="s">
        <v>167</v>
      </c>
      <c r="FM7" s="33" t="s">
        <v>168</v>
      </c>
      <c r="FN7" s="33" t="s">
        <v>1192</v>
      </c>
    </row>
    <row r="8" spans="1:170" ht="30" customHeight="1" thickTop="1" thickBot="1">
      <c r="A8" s="50">
        <v>1</v>
      </c>
      <c r="B8" s="9"/>
      <c r="C8" s="23"/>
      <c r="D8" s="25"/>
      <c r="E8" s="25"/>
      <c r="F8" s="11"/>
      <c r="G8" s="10"/>
      <c r="H8" s="10"/>
      <c r="I8" s="24"/>
      <c r="J8" s="24"/>
      <c r="K8" s="281"/>
      <c r="L8" s="470"/>
      <c r="M8" s="470"/>
      <c r="N8" s="466"/>
      <c r="O8" s="40"/>
      <c r="P8" s="40"/>
      <c r="Q8" s="40"/>
      <c r="R8" s="40"/>
      <c r="S8" s="252" t="str">
        <f t="shared" ref="S8:S39" si="3">IF(SUM(C8)=0,"",SUM(((G8*H8)/1000000)))</f>
        <v/>
      </c>
      <c r="T8" s="174"/>
      <c r="U8" s="229"/>
      <c r="V8" s="230"/>
      <c r="BA8" s="33" t="str">
        <f>IF(D8=$BA$6,$BB$7,$BG$7)</f>
        <v>Head Box Colour</v>
      </c>
      <c r="BB8" s="33" t="s">
        <v>332</v>
      </c>
      <c r="BE8" s="33" t="s">
        <v>1583</v>
      </c>
      <c r="BF8" s="33" t="s">
        <v>1612</v>
      </c>
      <c r="BG8" s="33" t="s">
        <v>847</v>
      </c>
      <c r="BH8" s="33" t="s">
        <v>1613</v>
      </c>
      <c r="BI8" s="33" t="s">
        <v>332</v>
      </c>
      <c r="BJ8" s="33" t="s">
        <v>332</v>
      </c>
      <c r="BK8" s="33" t="s">
        <v>332</v>
      </c>
      <c r="BL8" s="33" t="s">
        <v>1612</v>
      </c>
      <c r="BM8" s="33" t="b">
        <f t="shared" ref="BM8:BM57" si="4">IF(D8=$BI$7,$BI$7, IF(D8=$BJ$7,$BJ$7,IF(D8=$BK$7,$BK$7,IF(D8=$BL$7,$BL$7))))</f>
        <v>0</v>
      </c>
      <c r="BN8" s="312" t="s">
        <v>847</v>
      </c>
      <c r="BO8" s="33" t="s">
        <v>847</v>
      </c>
      <c r="BP8" s="33" t="s">
        <v>847</v>
      </c>
      <c r="BQ8" s="33" t="s">
        <v>322</v>
      </c>
      <c r="BR8" s="33" t="s">
        <v>847</v>
      </c>
      <c r="BT8" s="33" t="str">
        <f t="shared" ref="BT8:BT39" si="5">IF(D8=$BE$14,$BR$7,$BO$7)</f>
        <v>Chain Colour</v>
      </c>
      <c r="BU8" s="33" t="s">
        <v>2127</v>
      </c>
      <c r="BV8" s="33" t="s">
        <v>26</v>
      </c>
      <c r="BW8" s="33" t="s">
        <v>2266</v>
      </c>
      <c r="BX8" s="312" t="s">
        <v>1573</v>
      </c>
      <c r="BY8" s="33" t="s">
        <v>26</v>
      </c>
      <c r="BZ8" s="33" t="b">
        <f>IF(D8=$BE$8,$BU$7,IF(D8=$BE$9,$BW$7,IF(D8=$BE$10,$BX$7)))</f>
        <v>0</v>
      </c>
      <c r="CA8" s="199" t="s">
        <v>1614</v>
      </c>
      <c r="CB8" s="199" t="s">
        <v>1631</v>
      </c>
      <c r="CC8" s="199" t="s">
        <v>1616</v>
      </c>
      <c r="CD8" s="199" t="s">
        <v>1617</v>
      </c>
      <c r="CE8" s="199" t="s">
        <v>1618</v>
      </c>
      <c r="CF8" s="199" t="s">
        <v>1619</v>
      </c>
      <c r="CG8" s="199" t="s">
        <v>1620</v>
      </c>
      <c r="CH8" s="199" t="s">
        <v>1621</v>
      </c>
      <c r="CI8" s="199" t="s">
        <v>1622</v>
      </c>
      <c r="CJ8" s="199" t="s">
        <v>1623</v>
      </c>
      <c r="CK8" t="s">
        <v>1624</v>
      </c>
      <c r="CL8" s="199" t="s">
        <v>1625</v>
      </c>
      <c r="CM8" s="199" t="s">
        <v>1626</v>
      </c>
      <c r="CN8" s="199" t="s">
        <v>1627</v>
      </c>
      <c r="CO8" s="199" t="s">
        <v>1798</v>
      </c>
      <c r="CP8" s="199" t="s">
        <v>1844</v>
      </c>
      <c r="CQ8" s="199" t="s">
        <v>1826</v>
      </c>
      <c r="CR8" s="442" t="s">
        <v>1833</v>
      </c>
      <c r="CS8" s="445" t="s">
        <v>2061</v>
      </c>
      <c r="CT8" s="444" t="s">
        <v>2094</v>
      </c>
      <c r="CU8" s="444" t="s">
        <v>2100</v>
      </c>
      <c r="CV8" s="444" t="s">
        <v>2101</v>
      </c>
      <c r="CW8" s="444" t="s">
        <v>2082</v>
      </c>
      <c r="CX8" s="444" t="s">
        <v>2105</v>
      </c>
      <c r="CY8" s="444" t="s">
        <v>2107</v>
      </c>
      <c r="CZ8" s="444" t="s">
        <v>2093</v>
      </c>
      <c r="DA8" s="465" t="s">
        <v>2240</v>
      </c>
      <c r="DB8" s="465" t="s">
        <v>2249</v>
      </c>
      <c r="DC8" s="465" t="s">
        <v>2253</v>
      </c>
      <c r="DD8" s="457" t="s">
        <v>2180</v>
      </c>
      <c r="DE8" s="447" t="b">
        <f t="shared" ref="DE8:DE32" si="6">IF(E8=$CA$6,$CA$7, IF(E8=$CB$6,$CB$7, IF(E8=$CC$6,$CC$7, IF(E8=$CD$6,$CD$7, IF(E8=$CE$6,$CE$7, IF(E8=$CF$6,$CF$7, IF(E8=$CG$6,$CG$7, IF(E8=$CH$6,$CH$7, IF(E8=$CI$6,$CI$7, IF(E8=$CJ$6,$CJ$7, IF(E8=$CK$6,$CK$7, IF(E8=$CL$6,$CL$7, IF(E8=$CM$6,$CM$7, IF(E8=$CN$6,$CN$7))))))))))))))</f>
        <v>0</v>
      </c>
      <c r="DF8" s="239" t="s">
        <v>69</v>
      </c>
      <c r="DG8" s="239" t="s">
        <v>332</v>
      </c>
      <c r="DH8" s="239" t="str">
        <f>IF(D8=$BE$14,$DG$7,$DF$7)</f>
        <v>Fabric Insert Option</v>
      </c>
      <c r="DJ8" s="172" t="s">
        <v>2264</v>
      </c>
      <c r="DK8" s="309" t="str">
        <f t="shared" ref="DK8:DZ8" si="7">$ES$5</f>
        <v>ColourNA</v>
      </c>
      <c r="DL8" s="309" t="str">
        <f t="shared" si="7"/>
        <v>ColourNA</v>
      </c>
      <c r="DM8" s="309" t="str">
        <f t="shared" si="7"/>
        <v>ColourNA</v>
      </c>
      <c r="DN8" s="309" t="str">
        <f t="shared" si="7"/>
        <v>ColourNA</v>
      </c>
      <c r="DO8" s="309" t="str">
        <f t="shared" si="7"/>
        <v>ColourNA</v>
      </c>
      <c r="DP8" s="309" t="str">
        <f t="shared" si="7"/>
        <v>ColourNA</v>
      </c>
      <c r="DQ8" s="309" t="str">
        <f t="shared" si="7"/>
        <v>ColourNA</v>
      </c>
      <c r="DR8" s="309" t="str">
        <f t="shared" si="7"/>
        <v>ColourNA</v>
      </c>
      <c r="DS8" s="309" t="str">
        <f t="shared" si="7"/>
        <v>ColourNA</v>
      </c>
      <c r="DT8" s="309" t="str">
        <f t="shared" si="7"/>
        <v>ColourNA</v>
      </c>
      <c r="DU8" s="309" t="str">
        <f t="shared" si="7"/>
        <v>ColourNA</v>
      </c>
      <c r="DV8" s="309" t="str">
        <f t="shared" si="7"/>
        <v>ColourNA</v>
      </c>
      <c r="DW8" s="309" t="str">
        <f t="shared" si="7"/>
        <v>ColourNA</v>
      </c>
      <c r="DX8" s="309" t="str">
        <f t="shared" si="7"/>
        <v>ColourNA</v>
      </c>
      <c r="DY8" s="309" t="str">
        <f t="shared" si="7"/>
        <v>ColourNA</v>
      </c>
      <c r="DZ8" s="309" t="str">
        <f t="shared" si="7"/>
        <v>ColourNA</v>
      </c>
      <c r="EA8" s="309" t="str">
        <f t="shared" ref="DY8:EN9" si="8">$ES$5</f>
        <v>ColourNA</v>
      </c>
      <c r="EB8" s="309" t="str">
        <f t="shared" si="8"/>
        <v>ColourNA</v>
      </c>
      <c r="EC8" s="309" t="str">
        <f t="shared" si="8"/>
        <v>ColourNA</v>
      </c>
      <c r="ED8" s="309" t="str">
        <f t="shared" si="8"/>
        <v>ColourNA</v>
      </c>
      <c r="EE8" s="309" t="str">
        <f t="shared" si="8"/>
        <v>ColourNA</v>
      </c>
      <c r="EF8" s="309" t="str">
        <f t="shared" si="8"/>
        <v>ColourNA</v>
      </c>
      <c r="EG8" s="309" t="str">
        <f t="shared" si="8"/>
        <v>ColourNA</v>
      </c>
      <c r="EH8" s="309" t="str">
        <f t="shared" si="8"/>
        <v>ColourNA</v>
      </c>
      <c r="EI8" s="309" t="str">
        <f t="shared" si="8"/>
        <v>ColourNA</v>
      </c>
      <c r="EJ8" s="309" t="str">
        <f t="shared" si="8"/>
        <v>ColourNA</v>
      </c>
      <c r="EK8" s="309" t="str">
        <f t="shared" si="8"/>
        <v>ColourNA</v>
      </c>
      <c r="EL8" s="309" t="str">
        <f t="shared" si="8"/>
        <v>ColourNA</v>
      </c>
      <c r="EM8" s="309" t="str">
        <f t="shared" si="8"/>
        <v>ColourNA</v>
      </c>
      <c r="EN8" s="309" t="str">
        <f t="shared" si="8"/>
        <v>ColourNA</v>
      </c>
      <c r="EO8" s="383" t="str">
        <f>$EW$7</f>
        <v>Monti_Colour</v>
      </c>
      <c r="EP8" s="383" t="str">
        <f>$EX$7</f>
        <v>Prati_Colour</v>
      </c>
      <c r="EQ8" s="383" t="str">
        <f>$EY$7</f>
        <v>Termini_Colour</v>
      </c>
      <c r="ER8" s="383" t="str">
        <f>$EZ$7</f>
        <v>Tridente_Colour</v>
      </c>
      <c r="ET8" s="310" t="e">
        <f>MATCH(D8,$DJ$7:$DJ$9,0)</f>
        <v>#N/A</v>
      </c>
      <c r="EU8" s="310" t="e">
        <f>MATCH(E8,$DK$6:$ER$6,0)</f>
        <v>#N/A</v>
      </c>
      <c r="EV8" s="310" t="e">
        <f>INDEX($DK$7:$ER$9,ET8,EU8)</f>
        <v>#N/A</v>
      </c>
      <c r="EW8" s="467" t="s">
        <v>1100</v>
      </c>
      <c r="EX8" s="469" t="s">
        <v>2273</v>
      </c>
      <c r="EY8" s="467" t="s">
        <v>2273</v>
      </c>
      <c r="EZ8" s="469" t="s">
        <v>2273</v>
      </c>
      <c r="FA8" s="33" t="s">
        <v>69</v>
      </c>
      <c r="FB8" s="33" t="s">
        <v>332</v>
      </c>
      <c r="FC8" s="239" t="str">
        <f>IF(D8=$BE$11,$FA$7,$FB$7)</f>
        <v>Vertical Extension Bracket Option NA</v>
      </c>
      <c r="FD8" s="33" t="s">
        <v>847</v>
      </c>
      <c r="FE8" s="33" t="s">
        <v>377</v>
      </c>
      <c r="FF8" s="313" t="str">
        <f>IF(OR(AND(E8="Jacquard Weave",D8="Multi Shade")),$FE$7,$FD$7)</f>
        <v>Other Bottom Rail Colour</v>
      </c>
      <c r="FG8" s="311" t="s">
        <v>26</v>
      </c>
      <c r="FH8" s="311" t="s">
        <v>332</v>
      </c>
      <c r="FI8" s="311" t="s">
        <v>26</v>
      </c>
      <c r="FJ8" s="311" t="b">
        <f t="shared" ref="FJ8:FJ39" si="9">IF(D8=$BE$8,$FG$7,IF(D8=$BE$14,$FH$7,IF(D8=$BE$9,$FI$7)))</f>
        <v>0</v>
      </c>
      <c r="FK8" s="33" t="s">
        <v>332</v>
      </c>
      <c r="FL8" s="33" t="e">
        <f>VLOOKUP(N8,$FL$2:$FM$5,2,FALSE)</f>
        <v>#N/A</v>
      </c>
      <c r="FM8" s="33" t="e">
        <f>VLOOKUP(N8,$FL$2:$FN$5,3,FALSE)</f>
        <v>#N/A</v>
      </c>
      <c r="FN8" s="33" t="s">
        <v>21</v>
      </c>
    </row>
    <row r="9" spans="1:170" ht="30" customHeight="1" thickBot="1">
      <c r="A9" s="51">
        <v>2</v>
      </c>
      <c r="B9" s="13"/>
      <c r="C9" s="27"/>
      <c r="D9" s="13"/>
      <c r="E9" s="13"/>
      <c r="F9" s="15"/>
      <c r="G9" s="10"/>
      <c r="H9" s="10"/>
      <c r="I9" s="14"/>
      <c r="J9" s="14"/>
      <c r="K9" s="280"/>
      <c r="L9" s="15"/>
      <c r="M9" s="15"/>
      <c r="N9" s="15"/>
      <c r="O9" s="13"/>
      <c r="P9" s="13"/>
      <c r="Q9" s="13"/>
      <c r="R9" s="13"/>
      <c r="S9" s="253" t="str">
        <f t="shared" si="3"/>
        <v/>
      </c>
      <c r="T9" s="175"/>
      <c r="U9" s="229"/>
      <c r="V9" s="230"/>
      <c r="BA9" s="33" t="str">
        <f t="shared" ref="BA9:BA57" si="10">IF(D9=$BA$6,$BB$7,$BG$7)</f>
        <v>Head Box Colour</v>
      </c>
      <c r="BE9" s="33" t="s">
        <v>2264</v>
      </c>
      <c r="BF9" s="33" t="s">
        <v>1629</v>
      </c>
      <c r="BG9" s="33" t="s">
        <v>1613</v>
      </c>
      <c r="BH9" s="33" t="s">
        <v>377</v>
      </c>
      <c r="BL9" s="33" t="s">
        <v>1629</v>
      </c>
      <c r="BM9" s="33" t="b">
        <f t="shared" si="4"/>
        <v>0</v>
      </c>
      <c r="BN9" s="33" t="s">
        <v>1613</v>
      </c>
      <c r="BO9" s="33" t="s">
        <v>326</v>
      </c>
      <c r="BP9" s="33" t="s">
        <v>1416</v>
      </c>
      <c r="BQ9" s="33" t="s">
        <v>406</v>
      </c>
      <c r="BR9" s="33" t="s">
        <v>1613</v>
      </c>
      <c r="BT9" s="33" t="str">
        <f t="shared" si="5"/>
        <v>Chain Colour</v>
      </c>
      <c r="BU9" s="33" t="s">
        <v>2128</v>
      </c>
      <c r="BW9" s="33" t="s">
        <v>2267</v>
      </c>
      <c r="BX9" s="312" t="s">
        <v>2060</v>
      </c>
      <c r="BY9" s="33" t="s">
        <v>1570</v>
      </c>
      <c r="BZ9" s="33" t="b">
        <f t="shared" ref="BZ9:BZ57" si="11">IF(D9=$BE$8,$BU$7,IF(D9=$BE$9,$BW$7,IF(D9=$BE$10,$BX$7)))</f>
        <v>0</v>
      </c>
      <c r="CA9" s="199" t="s">
        <v>1630</v>
      </c>
      <c r="CB9" s="199" t="s">
        <v>1647</v>
      </c>
      <c r="CC9" s="199" t="s">
        <v>1632</v>
      </c>
      <c r="CD9" s="199" t="s">
        <v>1633</v>
      </c>
      <c r="CE9" t="s">
        <v>1650</v>
      </c>
      <c r="CF9" s="199" t="s">
        <v>1635</v>
      </c>
      <c r="CG9" s="199" t="s">
        <v>1636</v>
      </c>
      <c r="CH9" s="199" t="s">
        <v>1637</v>
      </c>
      <c r="CI9" s="199" t="s">
        <v>1638</v>
      </c>
      <c r="CJ9" s="199" t="s">
        <v>1639</v>
      </c>
      <c r="CK9" s="199" t="s">
        <v>1640</v>
      </c>
      <c r="CL9" s="199" t="s">
        <v>1641</v>
      </c>
      <c r="CM9" t="s">
        <v>1673</v>
      </c>
      <c r="CN9" s="199" t="s">
        <v>1643</v>
      </c>
      <c r="CO9" s="199" t="s">
        <v>1799</v>
      </c>
      <c r="CP9" s="199" t="s">
        <v>1845</v>
      </c>
      <c r="CQ9" s="199" t="s">
        <v>1827</v>
      </c>
      <c r="CR9" s="442" t="s">
        <v>1834</v>
      </c>
      <c r="CS9" s="445" t="s">
        <v>2062</v>
      </c>
      <c r="CT9" s="444" t="s">
        <v>2095</v>
      </c>
      <c r="CU9" s="444" t="s">
        <v>2099</v>
      </c>
      <c r="CV9" s="444" t="s">
        <v>2080</v>
      </c>
      <c r="CW9" s="444" t="s">
        <v>2102</v>
      </c>
      <c r="CX9" s="444" t="s">
        <v>2106</v>
      </c>
      <c r="CY9" s="444" t="s">
        <v>2089</v>
      </c>
      <c r="CZ9" s="444" t="s">
        <v>2109</v>
      </c>
      <c r="DA9" s="465" t="s">
        <v>2241</v>
      </c>
      <c r="DB9" s="465" t="s">
        <v>2250</v>
      </c>
      <c r="DC9" s="465" t="s">
        <v>2254</v>
      </c>
      <c r="DD9" s="457" t="s">
        <v>2181</v>
      </c>
      <c r="DE9" s="447" t="b">
        <f t="shared" si="6"/>
        <v>0</v>
      </c>
      <c r="DF9" s="239" t="s">
        <v>22</v>
      </c>
      <c r="DH9" s="239" t="str">
        <f t="shared" ref="DH9:DH57" si="12">IF(D9=$BE$14,$DG$7,$DF$7)</f>
        <v>Fabric Insert Option</v>
      </c>
      <c r="DJ9" s="308" t="s">
        <v>1585</v>
      </c>
      <c r="DK9" s="309" t="str">
        <f>$ES$5</f>
        <v>ColourNA</v>
      </c>
      <c r="DL9" s="309" t="str">
        <f t="shared" ref="DL9" si="13">$ES$5</f>
        <v>ColourNA</v>
      </c>
      <c r="DM9" s="308" t="str">
        <f>$CM$7</f>
        <v>S6_Colour</v>
      </c>
      <c r="DN9" s="308" t="str">
        <f>$CM$7</f>
        <v>S6_Colour</v>
      </c>
      <c r="DO9" s="309" t="str">
        <f t="shared" ref="DO9:DP9" si="14">$ES$5</f>
        <v>ColourNA</v>
      </c>
      <c r="DP9" s="309" t="str">
        <f t="shared" si="14"/>
        <v>ColourNA</v>
      </c>
      <c r="DQ9" s="308" t="str">
        <f>$CM$7</f>
        <v>S6_Colour</v>
      </c>
      <c r="DR9" s="309" t="str">
        <f>$ES$5</f>
        <v>ColourNA</v>
      </c>
      <c r="DS9" s="308" t="str">
        <f>$CI$7</f>
        <v>E1_Colour</v>
      </c>
      <c r="DT9" s="308" t="str">
        <f>$CJ$7</f>
        <v>FR_S6_Colour</v>
      </c>
      <c r="DU9" s="309" t="str">
        <f>CZ7</f>
        <v>SH2_Colour</v>
      </c>
      <c r="DV9" s="309" t="str">
        <f>$ES$5</f>
        <v>ColourNA</v>
      </c>
      <c r="DW9" s="308" t="str">
        <f>$CM$7</f>
        <v>S6_Colour</v>
      </c>
      <c r="DX9" s="308" t="str">
        <f>$CN$7</f>
        <v>S9_Colour</v>
      </c>
      <c r="DY9" s="309" t="str">
        <f t="shared" si="8"/>
        <v>ColourNA</v>
      </c>
      <c r="DZ9" s="309" t="str">
        <f t="shared" si="8"/>
        <v>ColourNA</v>
      </c>
      <c r="EA9" s="309" t="str">
        <f t="shared" si="8"/>
        <v>ColourNA</v>
      </c>
      <c r="EB9" s="309" t="str">
        <f t="shared" ref="EB9:EI9" si="15">$ES$5</f>
        <v>ColourNA</v>
      </c>
      <c r="EC9" s="309" t="str">
        <f t="shared" si="15"/>
        <v>ColourNA</v>
      </c>
      <c r="ED9" s="309" t="str">
        <f t="shared" si="15"/>
        <v>ColourNA</v>
      </c>
      <c r="EE9" s="309" t="str">
        <f t="shared" si="15"/>
        <v>ColourNA</v>
      </c>
      <c r="EF9" s="309" t="str">
        <f t="shared" si="15"/>
        <v>ColourNA</v>
      </c>
      <c r="EG9" s="309" t="str">
        <f t="shared" si="15"/>
        <v>ColourNA</v>
      </c>
      <c r="EH9" s="309" t="str">
        <f t="shared" si="15"/>
        <v>ColourNA</v>
      </c>
      <c r="EI9" s="309" t="str">
        <f t="shared" si="15"/>
        <v>ColourNA</v>
      </c>
      <c r="EJ9" s="309" t="str">
        <f>CZ7</f>
        <v>SH2_Colour</v>
      </c>
      <c r="EK9" s="309" t="str">
        <f>CY7</f>
        <v>SP10_Colour</v>
      </c>
      <c r="EL9" s="309" t="str">
        <f>CX7</f>
        <v>SP1_Colour</v>
      </c>
      <c r="EM9" s="309" t="str">
        <f t="shared" si="2"/>
        <v>ColourNA</v>
      </c>
      <c r="EN9" s="309" t="str">
        <f t="shared" si="2"/>
        <v>ColourNA</v>
      </c>
      <c r="EO9" s="309" t="str">
        <f t="shared" si="2"/>
        <v>ColourNA</v>
      </c>
      <c r="EP9" s="309" t="str">
        <f t="shared" si="2"/>
        <v>ColourNA</v>
      </c>
      <c r="EQ9" s="309" t="str">
        <f t="shared" si="2"/>
        <v>ColourNA</v>
      </c>
      <c r="ER9" s="309" t="str">
        <f t="shared" si="2"/>
        <v>ColourNA</v>
      </c>
      <c r="ET9" s="310" t="e">
        <f t="shared" ref="ET9:ET57" si="16">MATCH(D9,$DJ$7:$DJ$9,0)</f>
        <v>#N/A</v>
      </c>
      <c r="EU9" s="310" t="e">
        <f t="shared" ref="EU9:EU57" si="17">MATCH(E9,$DK$6:$ER$6,0)</f>
        <v>#N/A</v>
      </c>
      <c r="EV9" s="310" t="e">
        <f t="shared" ref="EV9:EV57" si="18">INDEX($DK$7:$ER$9,ET9,EU9)</f>
        <v>#N/A</v>
      </c>
      <c r="EW9" s="467" t="s">
        <v>1119</v>
      </c>
      <c r="EX9" s="469" t="s">
        <v>2272</v>
      </c>
      <c r="EY9" s="467" t="s">
        <v>2272</v>
      </c>
      <c r="EZ9" s="469" t="s">
        <v>2272</v>
      </c>
      <c r="FA9" s="33" t="s">
        <v>22</v>
      </c>
      <c r="FC9" s="239" t="str">
        <f t="shared" ref="FC9:FC57" si="19">IF(D9=$BE$11,$FA$7,$FB$7)</f>
        <v>Vertical Extension Bracket Option NA</v>
      </c>
      <c r="FE9" s="33" t="s">
        <v>322</v>
      </c>
      <c r="FF9" s="313" t="str">
        <f t="shared" ref="FF9:FF57" si="20">IF(OR(AND(E9="Jacquard Weave",D9="Multi Shade")),$FE$7,$FD$7)</f>
        <v>Other Bottom Rail Colour</v>
      </c>
      <c r="FG9" s="311" t="s">
        <v>1628</v>
      </c>
      <c r="FJ9" s="311" t="b">
        <f t="shared" si="9"/>
        <v>0</v>
      </c>
      <c r="FL9" s="33" t="e">
        <f t="shared" ref="FL9:FL57" si="21">VLOOKUP(N9,$FL$2:$FM$5,2,FALSE)</f>
        <v>#N/A</v>
      </c>
      <c r="FM9" s="33" t="e">
        <f t="shared" ref="FM9:FM57" si="22">VLOOKUP(N9,$FL$2:$FN$5,3,FALSE)</f>
        <v>#N/A</v>
      </c>
      <c r="FN9" s="33" t="s">
        <v>28</v>
      </c>
    </row>
    <row r="10" spans="1:170" ht="30" customHeight="1" thickBot="1">
      <c r="A10" s="52">
        <v>3</v>
      </c>
      <c r="B10" s="17"/>
      <c r="C10" s="17"/>
      <c r="D10" s="13"/>
      <c r="E10" s="13"/>
      <c r="F10" s="15"/>
      <c r="G10" s="10"/>
      <c r="H10" s="10"/>
      <c r="I10" s="14"/>
      <c r="J10" s="14"/>
      <c r="K10" s="280"/>
      <c r="L10" s="15"/>
      <c r="M10" s="15"/>
      <c r="N10" s="15"/>
      <c r="O10" s="13"/>
      <c r="P10" s="13"/>
      <c r="Q10" s="13"/>
      <c r="R10" s="13"/>
      <c r="S10" s="253" t="str">
        <f t="shared" si="3"/>
        <v/>
      </c>
      <c r="T10" s="175"/>
      <c r="U10" s="229"/>
      <c r="V10" s="230"/>
      <c r="BA10" s="33" t="str">
        <f t="shared" si="10"/>
        <v>Head Box Colour</v>
      </c>
      <c r="BE10" s="33" t="s">
        <v>1585</v>
      </c>
      <c r="BF10" s="33" t="s">
        <v>1644</v>
      </c>
      <c r="BG10" s="33" t="s">
        <v>377</v>
      </c>
      <c r="BH10" s="33" t="s">
        <v>1645</v>
      </c>
      <c r="BL10" s="33" t="s">
        <v>1644</v>
      </c>
      <c r="BM10" s="33" t="b">
        <f t="shared" si="4"/>
        <v>0</v>
      </c>
      <c r="BN10" s="33" t="s">
        <v>377</v>
      </c>
      <c r="BP10" s="33" t="s">
        <v>1417</v>
      </c>
      <c r="BQ10" s="33" t="s">
        <v>377</v>
      </c>
      <c r="BR10" s="33" t="s">
        <v>377</v>
      </c>
      <c r="BT10" s="33" t="str">
        <f t="shared" si="5"/>
        <v>Chain Colour</v>
      </c>
      <c r="BU10" s="33" t="s">
        <v>2185</v>
      </c>
      <c r="BW10" s="33" t="s">
        <v>2268</v>
      </c>
      <c r="BX10" s="312" t="s">
        <v>2059</v>
      </c>
      <c r="BZ10" s="33" t="b">
        <f t="shared" si="11"/>
        <v>0</v>
      </c>
      <c r="CA10" s="199" t="s">
        <v>1646</v>
      </c>
      <c r="CB10" s="199" t="s">
        <v>1662</v>
      </c>
      <c r="CC10" s="199" t="s">
        <v>1648</v>
      </c>
      <c r="CD10" s="199" t="s">
        <v>1649</v>
      </c>
      <c r="CE10" s="199" t="s">
        <v>1665</v>
      </c>
      <c r="CF10" s="199" t="s">
        <v>1651</v>
      </c>
      <c r="CG10" s="199" t="s">
        <v>1652</v>
      </c>
      <c r="CH10" s="199" t="s">
        <v>1653</v>
      </c>
      <c r="CI10" s="199" t="s">
        <v>1654</v>
      </c>
      <c r="CJ10" s="199" t="s">
        <v>1655</v>
      </c>
      <c r="CK10" s="199" t="s">
        <v>1656</v>
      </c>
      <c r="CL10" s="199" t="s">
        <v>1657</v>
      </c>
      <c r="CM10" t="s">
        <v>1687</v>
      </c>
      <c r="CN10" s="199" t="s">
        <v>1659</v>
      </c>
      <c r="CO10" s="199" t="s">
        <v>1800</v>
      </c>
      <c r="CP10" s="199" t="s">
        <v>1846</v>
      </c>
      <c r="CQ10" s="199" t="s">
        <v>1828</v>
      </c>
      <c r="CR10" s="442" t="s">
        <v>1835</v>
      </c>
      <c r="CS10" s="445" t="s">
        <v>2064</v>
      </c>
      <c r="CT10" s="444" t="s">
        <v>2097</v>
      </c>
      <c r="CU10" s="444" t="s">
        <v>2072</v>
      </c>
      <c r="CV10" s="444" t="s">
        <v>2078</v>
      </c>
      <c r="CW10" s="444" t="s">
        <v>2083</v>
      </c>
      <c r="CX10" s="444" t="s">
        <v>2087</v>
      </c>
      <c r="CY10" s="444" t="s">
        <v>2090</v>
      </c>
      <c r="CZ10" s="444" t="s">
        <v>2092</v>
      </c>
      <c r="DA10" s="465" t="s">
        <v>2242</v>
      </c>
      <c r="DB10" s="465" t="s">
        <v>2251</v>
      </c>
      <c r="DC10" s="465" t="s">
        <v>2255</v>
      </c>
      <c r="DD10" s="457" t="s">
        <v>2182</v>
      </c>
      <c r="DE10" s="447" t="b">
        <f t="shared" si="6"/>
        <v>0</v>
      </c>
      <c r="DH10" s="239" t="str">
        <f t="shared" si="12"/>
        <v>Fabric Insert Option</v>
      </c>
      <c r="ET10" s="310" t="e">
        <f t="shared" si="16"/>
        <v>#N/A</v>
      </c>
      <c r="EU10" s="310" t="e">
        <f t="shared" si="17"/>
        <v>#N/A</v>
      </c>
      <c r="EV10" s="310" t="e">
        <f t="shared" si="18"/>
        <v>#N/A</v>
      </c>
      <c r="EW10" s="467" t="s">
        <v>2270</v>
      </c>
      <c r="EX10" s="468" t="s">
        <v>2271</v>
      </c>
      <c r="EY10" s="467" t="s">
        <v>2274</v>
      </c>
      <c r="EZ10" s="469" t="s">
        <v>2277</v>
      </c>
      <c r="FC10" s="239" t="str">
        <f t="shared" si="19"/>
        <v>Vertical Extension Bracket Option NA</v>
      </c>
      <c r="FF10" s="313" t="str">
        <f t="shared" si="20"/>
        <v>Other Bottom Rail Colour</v>
      </c>
      <c r="FJ10" s="311" t="b">
        <f t="shared" si="9"/>
        <v>0</v>
      </c>
      <c r="FL10" s="33" t="e">
        <f t="shared" si="21"/>
        <v>#N/A</v>
      </c>
      <c r="FM10" s="33" t="e">
        <f t="shared" si="22"/>
        <v>#N/A</v>
      </c>
      <c r="FN10" s="33" t="s">
        <v>1815</v>
      </c>
    </row>
    <row r="11" spans="1:170" ht="30" customHeight="1" thickBot="1">
      <c r="A11" s="52">
        <v>4</v>
      </c>
      <c r="B11" s="17"/>
      <c r="C11" s="17"/>
      <c r="D11" s="13"/>
      <c r="E11" s="13"/>
      <c r="F11" s="15"/>
      <c r="G11" s="10"/>
      <c r="H11" s="10"/>
      <c r="I11" s="14"/>
      <c r="J11" s="14"/>
      <c r="K11" s="280"/>
      <c r="L11" s="15"/>
      <c r="M11" s="15"/>
      <c r="N11" s="15"/>
      <c r="O11" s="13"/>
      <c r="P11" s="13"/>
      <c r="Q11" s="13"/>
      <c r="R11" s="13"/>
      <c r="S11" s="253" t="str">
        <f t="shared" si="3"/>
        <v/>
      </c>
      <c r="T11" s="175"/>
      <c r="U11" s="229"/>
      <c r="V11" s="230"/>
      <c r="BA11" s="33" t="str">
        <f t="shared" si="10"/>
        <v>Head Box Colour</v>
      </c>
      <c r="BE11" s="33" t="s">
        <v>1586</v>
      </c>
      <c r="BF11" s="33" t="s">
        <v>1660</v>
      </c>
      <c r="BG11" s="33" t="s">
        <v>1645</v>
      </c>
      <c r="BH11" s="33" t="s">
        <v>1100</v>
      </c>
      <c r="BL11" s="33" t="s">
        <v>1660</v>
      </c>
      <c r="BM11" s="33" t="b">
        <f t="shared" si="4"/>
        <v>0</v>
      </c>
      <c r="BN11" s="33" t="s">
        <v>1645</v>
      </c>
      <c r="BP11" s="33" t="s">
        <v>1418</v>
      </c>
      <c r="BQ11" s="33" t="s">
        <v>1435</v>
      </c>
      <c r="BR11" s="33" t="s">
        <v>1645</v>
      </c>
      <c r="BT11" s="33" t="str">
        <f t="shared" si="5"/>
        <v>Chain Colour</v>
      </c>
      <c r="BU11" s="33" t="s">
        <v>1573</v>
      </c>
      <c r="BW11" s="33" t="s">
        <v>2269</v>
      </c>
      <c r="BX11" s="33" t="s">
        <v>26</v>
      </c>
      <c r="BZ11" s="33" t="b">
        <f t="shared" si="11"/>
        <v>0</v>
      </c>
      <c r="CA11" s="199" t="s">
        <v>1661</v>
      </c>
      <c r="CB11" s="199" t="s">
        <v>1676</v>
      </c>
      <c r="CC11" s="199" t="s">
        <v>1663</v>
      </c>
      <c r="CD11" s="199" t="s">
        <v>1664</v>
      </c>
      <c r="CE11" s="199" t="s">
        <v>1679</v>
      </c>
      <c r="CF11" s="199" t="s">
        <v>1666</v>
      </c>
      <c r="CG11" s="199" t="s">
        <v>1667</v>
      </c>
      <c r="CH11" s="199" t="s">
        <v>1668</v>
      </c>
      <c r="CI11" s="199" t="s">
        <v>1669</v>
      </c>
      <c r="CJ11" s="199" t="s">
        <v>1670</v>
      </c>
      <c r="CK11" s="199" t="s">
        <v>1671</v>
      </c>
      <c r="CL11" s="199" t="s">
        <v>1672</v>
      </c>
      <c r="CM11" s="199" t="s">
        <v>1701</v>
      </c>
      <c r="CN11" s="199" t="s">
        <v>1674</v>
      </c>
      <c r="CO11" s="199" t="s">
        <v>1801</v>
      </c>
      <c r="CP11" s="199" t="s">
        <v>1847</v>
      </c>
      <c r="CQ11" s="199" t="s">
        <v>1829</v>
      </c>
      <c r="CR11" s="442" t="s">
        <v>1836</v>
      </c>
      <c r="CS11" s="445" t="s">
        <v>2065</v>
      </c>
      <c r="CT11" s="444" t="s">
        <v>2068</v>
      </c>
      <c r="CU11" s="444" t="s">
        <v>2070</v>
      </c>
      <c r="CV11" s="444" t="s">
        <v>2079</v>
      </c>
      <c r="CW11" s="444" t="s">
        <v>2104</v>
      </c>
      <c r="CX11" s="444" t="s">
        <v>2088</v>
      </c>
      <c r="CY11" s="444" t="s">
        <v>2108</v>
      </c>
      <c r="CZ11" s="444" t="s">
        <v>2111</v>
      </c>
      <c r="DA11" s="465" t="s">
        <v>2243</v>
      </c>
      <c r="DB11" s="465" t="s">
        <v>2252</v>
      </c>
      <c r="DC11" s="465" t="s">
        <v>2256</v>
      </c>
      <c r="DD11" s="457"/>
      <c r="DE11" s="447" t="b">
        <f t="shared" si="6"/>
        <v>0</v>
      </c>
      <c r="DH11" s="239" t="str">
        <f t="shared" si="12"/>
        <v>Fabric Insert Option</v>
      </c>
      <c r="ET11" s="310" t="e">
        <f t="shared" si="16"/>
        <v>#N/A</v>
      </c>
      <c r="EU11" s="310" t="e">
        <f t="shared" si="17"/>
        <v>#N/A</v>
      </c>
      <c r="EV11" s="310" t="e">
        <f t="shared" si="18"/>
        <v>#N/A</v>
      </c>
      <c r="EW11" s="467" t="s">
        <v>322</v>
      </c>
      <c r="EX11" s="469" t="s">
        <v>1119</v>
      </c>
      <c r="EY11" s="467" t="s">
        <v>2276</v>
      </c>
      <c r="EZ11" s="468" t="s">
        <v>2276</v>
      </c>
      <c r="FC11" s="239" t="str">
        <f t="shared" si="19"/>
        <v>Vertical Extension Bracket Option NA</v>
      </c>
      <c r="FF11" s="313" t="str">
        <f t="shared" si="20"/>
        <v>Other Bottom Rail Colour</v>
      </c>
      <c r="FJ11" s="311" t="b">
        <f t="shared" si="9"/>
        <v>0</v>
      </c>
      <c r="FL11" s="33" t="e">
        <f t="shared" si="21"/>
        <v>#N/A</v>
      </c>
      <c r="FM11" s="33" t="e">
        <f t="shared" si="22"/>
        <v>#N/A</v>
      </c>
      <c r="FN11" s="33" t="s">
        <v>1816</v>
      </c>
    </row>
    <row r="12" spans="1:170" ht="30" customHeight="1" thickBot="1">
      <c r="A12" s="52">
        <v>5</v>
      </c>
      <c r="B12" s="17"/>
      <c r="C12" s="17"/>
      <c r="D12" s="13"/>
      <c r="E12" s="13"/>
      <c r="F12" s="15"/>
      <c r="G12" s="10"/>
      <c r="H12" s="10"/>
      <c r="I12" s="14"/>
      <c r="J12" s="14"/>
      <c r="K12" s="280"/>
      <c r="L12" s="15"/>
      <c r="M12" s="15"/>
      <c r="N12" s="15"/>
      <c r="O12" s="13"/>
      <c r="P12" s="13"/>
      <c r="Q12" s="13"/>
      <c r="R12" s="13"/>
      <c r="S12" s="253" t="str">
        <f t="shared" si="3"/>
        <v/>
      </c>
      <c r="T12" s="175"/>
      <c r="U12" s="229"/>
      <c r="V12" s="230"/>
      <c r="BA12" s="33" t="str">
        <f t="shared" si="10"/>
        <v>Head Box Colour</v>
      </c>
      <c r="BG12" s="33" t="s">
        <v>1100</v>
      </c>
      <c r="BH12" s="33" t="s">
        <v>409</v>
      </c>
      <c r="BM12" s="33" t="b">
        <f t="shared" si="4"/>
        <v>0</v>
      </c>
      <c r="BN12" s="33" t="s">
        <v>1100</v>
      </c>
      <c r="BP12" s="33" t="s">
        <v>1419</v>
      </c>
      <c r="BQ12" s="33" t="s">
        <v>326</v>
      </c>
      <c r="BR12" s="33" t="s">
        <v>1100</v>
      </c>
      <c r="BT12" s="33" t="str">
        <f t="shared" si="5"/>
        <v>Chain Colour</v>
      </c>
      <c r="BU12" s="33" t="s">
        <v>1821</v>
      </c>
      <c r="BZ12" s="33" t="b">
        <f t="shared" si="11"/>
        <v>0</v>
      </c>
      <c r="CA12" s="199" t="s">
        <v>1675</v>
      </c>
      <c r="CB12" s="199" t="s">
        <v>1691</v>
      </c>
      <c r="CC12" s="199" t="s">
        <v>1677</v>
      </c>
      <c r="CD12" s="199" t="s">
        <v>1678</v>
      </c>
      <c r="CE12" s="199" t="s">
        <v>1717</v>
      </c>
      <c r="CF12" s="199" t="s">
        <v>1680</v>
      </c>
      <c r="CG12" s="199" t="s">
        <v>1681</v>
      </c>
      <c r="CH12" s="199" t="s">
        <v>1682</v>
      </c>
      <c r="CI12" s="199" t="s">
        <v>1683</v>
      </c>
      <c r="CJ12" s="199" t="s">
        <v>1684</v>
      </c>
      <c r="CK12" s="199" t="s">
        <v>1685</v>
      </c>
      <c r="CL12" s="199" t="s">
        <v>1686</v>
      </c>
      <c r="CM12" s="199" t="s">
        <v>1721</v>
      </c>
      <c r="CN12" s="199" t="s">
        <v>1688</v>
      </c>
      <c r="CO12" s="199" t="s">
        <v>1802</v>
      </c>
      <c r="CP12" s="199" t="s">
        <v>1848</v>
      </c>
      <c r="CQ12" s="199" t="s">
        <v>1830</v>
      </c>
      <c r="CR12" s="442" t="s">
        <v>1837</v>
      </c>
      <c r="CS12" s="445" t="s">
        <v>2063</v>
      </c>
      <c r="CT12" s="444" t="s">
        <v>2067</v>
      </c>
      <c r="CU12" s="444" t="s">
        <v>2098</v>
      </c>
      <c r="CV12" s="444" t="s">
        <v>2077</v>
      </c>
      <c r="CW12" s="444" t="s">
        <v>2084</v>
      </c>
      <c r="CX12" s="199"/>
      <c r="CY12" s="199"/>
      <c r="CZ12" s="444" t="s">
        <v>2091</v>
      </c>
      <c r="DA12" s="465" t="s">
        <v>2244</v>
      </c>
      <c r="DB12" s="454"/>
      <c r="DC12" s="465" t="s">
        <v>2257</v>
      </c>
      <c r="DD12" s="454"/>
      <c r="DE12" s="447" t="b">
        <f t="shared" si="6"/>
        <v>0</v>
      </c>
      <c r="DH12" s="239" t="str">
        <f t="shared" si="12"/>
        <v>Fabric Insert Option</v>
      </c>
      <c r="ET12" s="310" t="e">
        <f t="shared" si="16"/>
        <v>#N/A</v>
      </c>
      <c r="EU12" s="310" t="e">
        <f t="shared" si="17"/>
        <v>#N/A</v>
      </c>
      <c r="EV12" s="310" t="e">
        <f t="shared" si="18"/>
        <v>#N/A</v>
      </c>
      <c r="EX12" s="469" t="s">
        <v>322</v>
      </c>
      <c r="EY12" s="467" t="s">
        <v>1119</v>
      </c>
      <c r="EZ12" s="468" t="s">
        <v>1119</v>
      </c>
      <c r="FC12" s="239" t="str">
        <f t="shared" si="19"/>
        <v>Vertical Extension Bracket Option NA</v>
      </c>
      <c r="FF12" s="313" t="str">
        <f t="shared" si="20"/>
        <v>Other Bottom Rail Colour</v>
      </c>
      <c r="FJ12" s="311" t="b">
        <f t="shared" si="9"/>
        <v>0</v>
      </c>
      <c r="FL12" s="33" t="e">
        <f t="shared" si="21"/>
        <v>#N/A</v>
      </c>
      <c r="FM12" s="33" t="e">
        <f t="shared" si="22"/>
        <v>#N/A</v>
      </c>
    </row>
    <row r="13" spans="1:170" ht="30" customHeight="1" thickBot="1">
      <c r="A13" s="52">
        <v>6</v>
      </c>
      <c r="B13" s="17"/>
      <c r="C13" s="17"/>
      <c r="D13" s="13"/>
      <c r="E13" s="13"/>
      <c r="F13" s="15"/>
      <c r="G13" s="10"/>
      <c r="H13" s="10"/>
      <c r="I13" s="14"/>
      <c r="J13" s="14"/>
      <c r="K13" s="280"/>
      <c r="L13" s="15"/>
      <c r="M13" s="15"/>
      <c r="N13" s="15"/>
      <c r="O13" s="13"/>
      <c r="P13" s="13"/>
      <c r="Q13" s="13"/>
      <c r="R13" s="13"/>
      <c r="S13" s="253" t="str">
        <f t="shared" si="3"/>
        <v/>
      </c>
      <c r="T13" s="175"/>
      <c r="U13" s="229"/>
      <c r="V13" s="230"/>
      <c r="BA13" s="33" t="str">
        <f t="shared" si="10"/>
        <v>Head Box Colour</v>
      </c>
      <c r="BG13" s="312" t="s">
        <v>409</v>
      </c>
      <c r="BH13" s="312" t="s">
        <v>1689</v>
      </c>
      <c r="BM13" s="33" t="b">
        <f t="shared" si="4"/>
        <v>0</v>
      </c>
      <c r="BN13" s="33" t="s">
        <v>1689</v>
      </c>
      <c r="BP13" s="33" t="s">
        <v>1420</v>
      </c>
      <c r="BR13" s="33" t="s">
        <v>1689</v>
      </c>
      <c r="BT13" s="33" t="str">
        <f t="shared" si="5"/>
        <v>Chain Colour</v>
      </c>
      <c r="BU13" s="33" t="s">
        <v>1797</v>
      </c>
      <c r="BZ13" s="33" t="b">
        <f t="shared" si="11"/>
        <v>0</v>
      </c>
      <c r="CA13" s="199" t="s">
        <v>1690</v>
      </c>
      <c r="CB13" s="199" t="s">
        <v>1705</v>
      </c>
      <c r="CC13" s="199" t="s">
        <v>1692</v>
      </c>
      <c r="CD13" s="199"/>
      <c r="CE13" t="s">
        <v>1733</v>
      </c>
      <c r="CF13" t="s">
        <v>1727</v>
      </c>
      <c r="CG13" s="199" t="s">
        <v>1695</v>
      </c>
      <c r="CH13" s="199" t="s">
        <v>1696</v>
      </c>
      <c r="CI13" s="199" t="s">
        <v>1697</v>
      </c>
      <c r="CJ13" s="199" t="s">
        <v>1698</v>
      </c>
      <c r="CK13" s="199" t="s">
        <v>1699</v>
      </c>
      <c r="CL13" s="199" t="s">
        <v>1700</v>
      </c>
      <c r="CM13" s="311" t="s">
        <v>1742</v>
      </c>
      <c r="CN13" s="199" t="s">
        <v>1702</v>
      </c>
      <c r="CO13" s="199" t="s">
        <v>1803</v>
      </c>
      <c r="CP13" s="199" t="s">
        <v>1849</v>
      </c>
      <c r="CQ13" s="199" t="s">
        <v>1831</v>
      </c>
      <c r="CR13" s="199" t="s">
        <v>1838</v>
      </c>
      <c r="CS13" s="446"/>
      <c r="CT13" s="444" t="s">
        <v>2096</v>
      </c>
      <c r="CU13" s="444" t="s">
        <v>2071</v>
      </c>
      <c r="CV13" s="444" t="s">
        <v>2081</v>
      </c>
      <c r="CW13" s="444" t="s">
        <v>2085</v>
      </c>
      <c r="CX13" s="199"/>
      <c r="CY13" s="199"/>
      <c r="CZ13" s="444" t="s">
        <v>2110</v>
      </c>
      <c r="DA13" s="465" t="s">
        <v>2245</v>
      </c>
      <c r="DB13" s="454"/>
      <c r="DC13" s="465" t="s">
        <v>2258</v>
      </c>
      <c r="DD13" s="454"/>
      <c r="DE13" s="447" t="b">
        <f t="shared" si="6"/>
        <v>0</v>
      </c>
      <c r="DH13" s="239" t="str">
        <f t="shared" si="12"/>
        <v>Fabric Insert Option</v>
      </c>
      <c r="ET13" s="310" t="e">
        <f t="shared" si="16"/>
        <v>#N/A</v>
      </c>
      <c r="EU13" s="310" t="e">
        <f t="shared" si="17"/>
        <v>#N/A</v>
      </c>
      <c r="EV13" s="310" t="e">
        <f t="shared" si="18"/>
        <v>#N/A</v>
      </c>
      <c r="EY13" s="467" t="s">
        <v>2275</v>
      </c>
      <c r="EZ13" s="469" t="s">
        <v>2270</v>
      </c>
      <c r="FC13" s="239" t="str">
        <f t="shared" si="19"/>
        <v>Vertical Extension Bracket Option NA</v>
      </c>
      <c r="FF13" s="313" t="str">
        <f t="shared" si="20"/>
        <v>Other Bottom Rail Colour</v>
      </c>
      <c r="FJ13" s="311" t="b">
        <f t="shared" si="9"/>
        <v>0</v>
      </c>
      <c r="FL13" s="33" t="e">
        <f t="shared" si="21"/>
        <v>#N/A</v>
      </c>
      <c r="FM13" s="33" t="e">
        <f t="shared" si="22"/>
        <v>#N/A</v>
      </c>
    </row>
    <row r="14" spans="1:170" ht="30" customHeight="1" thickBot="1">
      <c r="A14" s="52">
        <v>7</v>
      </c>
      <c r="B14" s="17"/>
      <c r="C14" s="17"/>
      <c r="D14" s="13"/>
      <c r="E14" s="13"/>
      <c r="F14" s="15"/>
      <c r="G14" s="10"/>
      <c r="H14" s="10"/>
      <c r="I14" s="14"/>
      <c r="J14" s="14"/>
      <c r="K14" s="280"/>
      <c r="L14" s="15"/>
      <c r="M14" s="15"/>
      <c r="N14" s="15"/>
      <c r="O14" s="13"/>
      <c r="P14" s="13"/>
      <c r="Q14" s="13"/>
      <c r="R14" s="13"/>
      <c r="S14" s="253" t="str">
        <f t="shared" si="3"/>
        <v/>
      </c>
      <c r="T14" s="175"/>
      <c r="U14" s="229"/>
      <c r="V14" s="230"/>
      <c r="BA14" s="33" t="str">
        <f t="shared" si="10"/>
        <v>Head Box Colour</v>
      </c>
      <c r="BE14" s="33" t="s">
        <v>2264</v>
      </c>
      <c r="BG14" s="33" t="s">
        <v>1689</v>
      </c>
      <c r="BH14" s="33" t="s">
        <v>322</v>
      </c>
      <c r="BM14" s="33" t="b">
        <f t="shared" si="4"/>
        <v>0</v>
      </c>
      <c r="BN14" s="312" t="s">
        <v>1703</v>
      </c>
      <c r="BP14" s="33" t="s">
        <v>1421</v>
      </c>
      <c r="BR14" s="33" t="s">
        <v>1703</v>
      </c>
      <c r="BT14" s="33" t="str">
        <f t="shared" si="5"/>
        <v>Chain Colour</v>
      </c>
      <c r="BU14" s="33" t="s">
        <v>1822</v>
      </c>
      <c r="BZ14" s="33" t="b">
        <f t="shared" si="11"/>
        <v>0</v>
      </c>
      <c r="CA14" s="199" t="s">
        <v>1704</v>
      </c>
      <c r="CB14" s="199" t="s">
        <v>1715</v>
      </c>
      <c r="CC14" s="199" t="s">
        <v>1706</v>
      </c>
      <c r="CD14" s="199"/>
      <c r="CE14" t="s">
        <v>1739</v>
      </c>
      <c r="CF14" t="s">
        <v>1734</v>
      </c>
      <c r="CG14" s="199" t="s">
        <v>1709</v>
      </c>
      <c r="CH14" s="199"/>
      <c r="CI14" s="199" t="s">
        <v>1710</v>
      </c>
      <c r="CJ14" s="199"/>
      <c r="CK14" s="311" t="s">
        <v>1711</v>
      </c>
      <c r="CL14" s="199"/>
      <c r="CM14" s="33" t="s">
        <v>1747</v>
      </c>
      <c r="CN14" s="199" t="s">
        <v>1713</v>
      </c>
      <c r="CO14" s="199" t="s">
        <v>1804</v>
      </c>
      <c r="CP14" s="199" t="s">
        <v>1850</v>
      </c>
      <c r="CQ14" s="199" t="s">
        <v>1832</v>
      </c>
      <c r="CR14" s="199" t="s">
        <v>1839</v>
      </c>
      <c r="CS14" s="442"/>
      <c r="CT14" s="199"/>
      <c r="CU14" s="444" t="s">
        <v>2076</v>
      </c>
      <c r="CV14" s="199"/>
      <c r="CW14" s="444" t="s">
        <v>2086</v>
      </c>
      <c r="CX14" s="199"/>
      <c r="CY14" s="199"/>
      <c r="CZ14" s="199"/>
      <c r="DA14" s="465" t="s">
        <v>2246</v>
      </c>
      <c r="DB14" s="452"/>
      <c r="DC14" s="465" t="s">
        <v>2259</v>
      </c>
      <c r="DD14" s="452" t="s">
        <v>2183</v>
      </c>
      <c r="DE14" s="447" t="b">
        <f t="shared" si="6"/>
        <v>0</v>
      </c>
      <c r="DH14" s="239" t="str">
        <f t="shared" si="12"/>
        <v>Fabric Insert Option</v>
      </c>
      <c r="ET14" s="310" t="e">
        <f t="shared" si="16"/>
        <v>#N/A</v>
      </c>
      <c r="EU14" s="310" t="e">
        <f t="shared" si="17"/>
        <v>#N/A</v>
      </c>
      <c r="EV14" s="310" t="e">
        <f t="shared" si="18"/>
        <v>#N/A</v>
      </c>
      <c r="FC14" s="239" t="str">
        <f t="shared" si="19"/>
        <v>Vertical Extension Bracket Option NA</v>
      </c>
      <c r="FF14" s="313" t="str">
        <f t="shared" si="20"/>
        <v>Other Bottom Rail Colour</v>
      </c>
      <c r="FJ14" s="311" t="b">
        <f t="shared" si="9"/>
        <v>0</v>
      </c>
      <c r="FL14" s="33" t="e">
        <f t="shared" si="21"/>
        <v>#N/A</v>
      </c>
      <c r="FM14" s="33" t="e">
        <f t="shared" si="22"/>
        <v>#N/A</v>
      </c>
    </row>
    <row r="15" spans="1:170" ht="30" customHeight="1" thickBot="1">
      <c r="A15" s="52">
        <v>8</v>
      </c>
      <c r="B15" s="17"/>
      <c r="C15" s="17"/>
      <c r="D15" s="19"/>
      <c r="E15" s="13"/>
      <c r="F15" s="15"/>
      <c r="G15" s="10"/>
      <c r="H15" s="10"/>
      <c r="I15" s="14"/>
      <c r="J15" s="14"/>
      <c r="K15" s="280"/>
      <c r="L15" s="15"/>
      <c r="M15" s="15"/>
      <c r="N15" s="15"/>
      <c r="O15" s="13"/>
      <c r="P15" s="13"/>
      <c r="Q15" s="13"/>
      <c r="R15" s="13"/>
      <c r="S15" s="253" t="str">
        <f t="shared" si="3"/>
        <v/>
      </c>
      <c r="T15" s="175"/>
      <c r="U15" s="229"/>
      <c r="V15" s="230"/>
      <c r="BA15" s="33" t="str">
        <f t="shared" si="10"/>
        <v>Head Box Colour</v>
      </c>
      <c r="BG15" s="314" t="s">
        <v>322</v>
      </c>
      <c r="BH15" s="314"/>
      <c r="BM15" s="33" t="b">
        <f t="shared" si="4"/>
        <v>0</v>
      </c>
      <c r="BN15" s="33" t="s">
        <v>322</v>
      </c>
      <c r="BR15" s="33" t="s">
        <v>322</v>
      </c>
      <c r="BT15" s="33" t="str">
        <f t="shared" si="5"/>
        <v>Chain Colour</v>
      </c>
      <c r="BU15" s="33" t="s">
        <v>1823</v>
      </c>
      <c r="BZ15" s="33" t="b">
        <f t="shared" si="11"/>
        <v>0</v>
      </c>
      <c r="CA15" s="199" t="s">
        <v>1714</v>
      </c>
      <c r="CB15" s="199" t="s">
        <v>1724</v>
      </c>
      <c r="CC15" s="199" t="s">
        <v>1716</v>
      </c>
      <c r="CD15" s="199"/>
      <c r="CE15" s="199" t="s">
        <v>1746</v>
      </c>
      <c r="CF15" t="s">
        <v>1740</v>
      </c>
      <c r="CG15" s="199" t="s">
        <v>1719</v>
      </c>
      <c r="CH15" s="199"/>
      <c r="CI15" s="199" t="s">
        <v>1720</v>
      </c>
      <c r="CJ15" s="199"/>
      <c r="CK15" s="199"/>
      <c r="CL15" s="199"/>
      <c r="CM15" s="311" t="s">
        <v>1752</v>
      </c>
      <c r="CN15" s="199" t="s">
        <v>1722</v>
      </c>
      <c r="CO15" s="199" t="s">
        <v>1805</v>
      </c>
      <c r="CP15" s="199"/>
      <c r="CQ15" s="199"/>
      <c r="CR15" s="199" t="s">
        <v>1840</v>
      </c>
      <c r="CS15" s="442"/>
      <c r="CT15" s="199"/>
      <c r="CU15" s="444" t="s">
        <v>2074</v>
      </c>
      <c r="CV15" s="199"/>
      <c r="CW15" s="444" t="s">
        <v>2103</v>
      </c>
      <c r="CX15" s="199"/>
      <c r="CY15" s="199"/>
      <c r="CZ15" s="199"/>
      <c r="DA15" s="465" t="s">
        <v>2247</v>
      </c>
      <c r="DB15" s="452"/>
      <c r="DC15" s="465" t="s">
        <v>2260</v>
      </c>
      <c r="DD15" s="452"/>
      <c r="DE15" s="447" t="b">
        <f t="shared" si="6"/>
        <v>0</v>
      </c>
      <c r="DH15" s="239" t="str">
        <f t="shared" si="12"/>
        <v>Fabric Insert Option</v>
      </c>
      <c r="ET15" s="310" t="e">
        <f t="shared" si="16"/>
        <v>#N/A</v>
      </c>
      <c r="EU15" s="310" t="e">
        <f t="shared" si="17"/>
        <v>#N/A</v>
      </c>
      <c r="EV15" s="310" t="e">
        <f t="shared" si="18"/>
        <v>#N/A</v>
      </c>
      <c r="FC15" s="239" t="str">
        <f t="shared" si="19"/>
        <v>Vertical Extension Bracket Option NA</v>
      </c>
      <c r="FF15" s="313" t="str">
        <f t="shared" si="20"/>
        <v>Other Bottom Rail Colour</v>
      </c>
      <c r="FJ15" s="311" t="b">
        <f t="shared" si="9"/>
        <v>0</v>
      </c>
      <c r="FL15" s="33" t="e">
        <f t="shared" si="21"/>
        <v>#N/A</v>
      </c>
      <c r="FM15" s="33" t="e">
        <f t="shared" si="22"/>
        <v>#N/A</v>
      </c>
    </row>
    <row r="16" spans="1:170" ht="30" customHeight="1" thickBot="1">
      <c r="A16" s="52">
        <v>9</v>
      </c>
      <c r="B16" s="17"/>
      <c r="C16" s="17"/>
      <c r="D16" s="13"/>
      <c r="E16" s="13"/>
      <c r="F16" s="15"/>
      <c r="G16" s="10"/>
      <c r="H16" s="10"/>
      <c r="I16" s="14"/>
      <c r="J16" s="14"/>
      <c r="K16" s="280"/>
      <c r="L16" s="15"/>
      <c r="M16" s="15"/>
      <c r="N16" s="15"/>
      <c r="O16" s="13"/>
      <c r="P16" s="13"/>
      <c r="Q16" s="13"/>
      <c r="R16" s="13"/>
      <c r="S16" s="253" t="str">
        <f t="shared" si="3"/>
        <v/>
      </c>
      <c r="T16" s="175"/>
      <c r="U16" s="229"/>
      <c r="V16" s="230"/>
      <c r="BA16" s="33" t="str">
        <f t="shared" si="10"/>
        <v>Head Box Colour</v>
      </c>
      <c r="BM16" s="33" t="b">
        <f t="shared" si="4"/>
        <v>0</v>
      </c>
      <c r="BT16" s="33" t="str">
        <f t="shared" si="5"/>
        <v>Chain Colour</v>
      </c>
      <c r="BU16" s="312" t="s">
        <v>2057</v>
      </c>
      <c r="BX16" s="33" t="s">
        <v>1571</v>
      </c>
      <c r="BZ16" s="33" t="b">
        <f t="shared" si="11"/>
        <v>0</v>
      </c>
      <c r="CA16" s="199" t="s">
        <v>1723</v>
      </c>
      <c r="CB16" s="199" t="s">
        <v>1731</v>
      </c>
      <c r="CC16" s="199" t="s">
        <v>1725</v>
      </c>
      <c r="CD16" s="199"/>
      <c r="CE16" t="s">
        <v>1750</v>
      </c>
      <c r="CF16" s="199" t="s">
        <v>1751</v>
      </c>
      <c r="CG16" s="199"/>
      <c r="CH16" s="199"/>
      <c r="CI16" s="199" t="s">
        <v>1728</v>
      </c>
      <c r="CJ16" s="199"/>
      <c r="CK16" s="199"/>
      <c r="CL16" s="199"/>
      <c r="CM16"/>
      <c r="CN16" s="199"/>
      <c r="CO16" s="199"/>
      <c r="CP16" s="199"/>
      <c r="CQ16" s="199"/>
      <c r="CR16" s="199" t="s">
        <v>1841</v>
      </c>
      <c r="CS16" s="442"/>
      <c r="CT16" s="199"/>
      <c r="CU16" s="444" t="s">
        <v>2069</v>
      </c>
      <c r="CV16" s="199"/>
      <c r="CW16" s="199"/>
      <c r="CX16" s="199"/>
      <c r="CY16" s="199"/>
      <c r="CZ16" s="199"/>
      <c r="DA16" s="465" t="s">
        <v>2248</v>
      </c>
      <c r="DB16" s="452"/>
      <c r="DC16" s="452"/>
      <c r="DD16" s="452"/>
      <c r="DE16" s="447" t="b">
        <f t="shared" si="6"/>
        <v>0</v>
      </c>
      <c r="DH16" s="239" t="str">
        <f t="shared" si="12"/>
        <v>Fabric Insert Option</v>
      </c>
      <c r="ET16" s="310" t="e">
        <f t="shared" si="16"/>
        <v>#N/A</v>
      </c>
      <c r="EU16" s="310" t="e">
        <f t="shared" si="17"/>
        <v>#N/A</v>
      </c>
      <c r="EV16" s="310" t="e">
        <f t="shared" si="18"/>
        <v>#N/A</v>
      </c>
      <c r="FC16" s="239" t="str">
        <f t="shared" si="19"/>
        <v>Vertical Extension Bracket Option NA</v>
      </c>
      <c r="FF16" s="313" t="str">
        <f t="shared" si="20"/>
        <v>Other Bottom Rail Colour</v>
      </c>
      <c r="FJ16" s="311" t="b">
        <f t="shared" si="9"/>
        <v>0</v>
      </c>
      <c r="FL16" s="33" t="e">
        <f t="shared" si="21"/>
        <v>#N/A</v>
      </c>
      <c r="FM16" s="33" t="e">
        <f t="shared" si="22"/>
        <v>#N/A</v>
      </c>
    </row>
    <row r="17" spans="1:169" ht="30" customHeight="1">
      <c r="A17" s="52">
        <v>10</v>
      </c>
      <c r="B17" s="17"/>
      <c r="C17" s="17"/>
      <c r="D17" s="19"/>
      <c r="E17" s="13"/>
      <c r="F17" s="15"/>
      <c r="G17" s="10"/>
      <c r="H17" s="10"/>
      <c r="I17" s="14"/>
      <c r="J17" s="14"/>
      <c r="K17" s="280"/>
      <c r="L17" s="15"/>
      <c r="M17" s="15"/>
      <c r="N17" s="15"/>
      <c r="O17" s="13"/>
      <c r="P17" s="13"/>
      <c r="Q17" s="13"/>
      <c r="R17" s="13"/>
      <c r="S17" s="253" t="str">
        <f t="shared" si="3"/>
        <v/>
      </c>
      <c r="T17" s="175"/>
      <c r="U17" s="229"/>
      <c r="V17" s="230"/>
      <c r="BA17" s="33" t="str">
        <f t="shared" si="10"/>
        <v>Head Box Colour</v>
      </c>
      <c r="BM17" s="33" t="b">
        <f t="shared" si="4"/>
        <v>0</v>
      </c>
      <c r="BO17" s="33" t="s">
        <v>1613</v>
      </c>
      <c r="BT17" s="33" t="str">
        <f t="shared" si="5"/>
        <v>Chain Colour</v>
      </c>
      <c r="BU17" s="312" t="s">
        <v>2058</v>
      </c>
      <c r="BX17" s="312" t="s">
        <v>1572</v>
      </c>
      <c r="BZ17" s="33" t="b">
        <f t="shared" si="11"/>
        <v>0</v>
      </c>
      <c r="CA17" s="199" t="s">
        <v>1730</v>
      </c>
      <c r="CB17" s="199" t="s">
        <v>1737</v>
      </c>
      <c r="CC17" s="199" t="s">
        <v>1732</v>
      </c>
      <c r="CD17" s="199"/>
      <c r="CE17" s="311"/>
      <c r="CF17" s="199"/>
      <c r="CG17" s="199"/>
      <c r="CH17" s="199"/>
      <c r="CI17" s="199" t="s">
        <v>1735</v>
      </c>
      <c r="CJ17" s="199"/>
      <c r="CK17" s="199"/>
      <c r="CL17" s="199"/>
      <c r="CM17" s="199"/>
      <c r="CN17" s="199"/>
      <c r="CO17" s="199"/>
      <c r="CP17" s="199"/>
      <c r="CQ17" s="199"/>
      <c r="CR17" s="199" t="s">
        <v>1842</v>
      </c>
      <c r="CS17" s="442"/>
      <c r="CT17" s="199"/>
      <c r="CU17" s="444" t="s">
        <v>2075</v>
      </c>
      <c r="CV17" s="199"/>
      <c r="CW17" s="199"/>
      <c r="CX17" s="199"/>
      <c r="CY17" s="199"/>
      <c r="CZ17" s="199"/>
      <c r="DA17" s="452"/>
      <c r="DB17" s="452"/>
      <c r="DC17" s="452"/>
      <c r="DD17" s="452"/>
      <c r="DE17" s="447" t="b">
        <f t="shared" si="6"/>
        <v>0</v>
      </c>
      <c r="DH17" s="239" t="str">
        <f t="shared" si="12"/>
        <v>Fabric Insert Option</v>
      </c>
      <c r="ET17" s="310" t="e">
        <f t="shared" si="16"/>
        <v>#N/A</v>
      </c>
      <c r="EU17" s="310" t="e">
        <f t="shared" si="17"/>
        <v>#N/A</v>
      </c>
      <c r="EV17" s="310" t="e">
        <f t="shared" si="18"/>
        <v>#N/A</v>
      </c>
      <c r="FC17" s="239" t="str">
        <f t="shared" si="19"/>
        <v>Vertical Extension Bracket Option NA</v>
      </c>
      <c r="FF17" s="313" t="str">
        <f t="shared" si="20"/>
        <v>Other Bottom Rail Colour</v>
      </c>
      <c r="FJ17" s="311" t="b">
        <f t="shared" si="9"/>
        <v>0</v>
      </c>
      <c r="FL17" s="33" t="e">
        <f t="shared" si="21"/>
        <v>#N/A</v>
      </c>
      <c r="FM17" s="33" t="e">
        <f t="shared" si="22"/>
        <v>#N/A</v>
      </c>
    </row>
    <row r="18" spans="1:169" ht="30" customHeight="1">
      <c r="A18" s="52">
        <v>11</v>
      </c>
      <c r="B18" s="17"/>
      <c r="C18" s="17"/>
      <c r="D18" s="13"/>
      <c r="E18" s="13"/>
      <c r="F18" s="15"/>
      <c r="G18" s="10"/>
      <c r="H18" s="10"/>
      <c r="I18" s="14"/>
      <c r="J18" s="14"/>
      <c r="K18" s="280"/>
      <c r="L18" s="15"/>
      <c r="M18" s="15"/>
      <c r="N18" s="15"/>
      <c r="O18" s="13"/>
      <c r="P18" s="13"/>
      <c r="Q18" s="13"/>
      <c r="R18" s="13"/>
      <c r="S18" s="253" t="str">
        <f t="shared" si="3"/>
        <v/>
      </c>
      <c r="T18" s="175"/>
      <c r="U18" s="229"/>
      <c r="V18" s="230"/>
      <c r="BA18" s="33" t="str">
        <f t="shared" si="10"/>
        <v>Head Box Colour</v>
      </c>
      <c r="BM18" s="33" t="b">
        <f t="shared" si="4"/>
        <v>0</v>
      </c>
      <c r="BO18" s="33" t="s">
        <v>377</v>
      </c>
      <c r="BT18" s="33" t="str">
        <f t="shared" si="5"/>
        <v>Chain Colour</v>
      </c>
      <c r="BU18" s="463" t="s">
        <v>2234</v>
      </c>
      <c r="BX18" s="312" t="s">
        <v>1575</v>
      </c>
      <c r="BZ18" s="33" t="b">
        <f t="shared" si="11"/>
        <v>0</v>
      </c>
      <c r="CA18" s="199" t="s">
        <v>1736</v>
      </c>
      <c r="CB18" s="311" t="s">
        <v>1744</v>
      </c>
      <c r="CC18" s="199" t="s">
        <v>1738</v>
      </c>
      <c r="CD18" s="199"/>
      <c r="CE18" s="311"/>
      <c r="CF18" s="311"/>
      <c r="CG18" s="199"/>
      <c r="CH18" s="199"/>
      <c r="CI18" s="199" t="s">
        <v>1741</v>
      </c>
      <c r="CJ18" s="199"/>
      <c r="CK18" s="199"/>
      <c r="CL18" s="199"/>
      <c r="CM18" s="199"/>
      <c r="CN18" s="199"/>
      <c r="CO18" s="199"/>
      <c r="CP18" s="199"/>
      <c r="CQ18" s="199"/>
      <c r="CR18" s="199" t="s">
        <v>1843</v>
      </c>
      <c r="CS18" s="442"/>
      <c r="CT18" s="199"/>
      <c r="CU18" s="444" t="s">
        <v>2073</v>
      </c>
      <c r="CV18" s="199"/>
      <c r="CW18" s="199"/>
      <c r="CX18" s="199"/>
      <c r="CY18" s="199"/>
      <c r="CZ18" s="199"/>
      <c r="DA18" s="452"/>
      <c r="DB18" s="452"/>
      <c r="DC18" s="452"/>
      <c r="DD18" s="452"/>
      <c r="DE18" s="447" t="b">
        <f t="shared" si="6"/>
        <v>0</v>
      </c>
      <c r="DH18" s="239" t="str">
        <f t="shared" si="12"/>
        <v>Fabric Insert Option</v>
      </c>
      <c r="ET18" s="310" t="e">
        <f t="shared" si="16"/>
        <v>#N/A</v>
      </c>
      <c r="EU18" s="310" t="e">
        <f t="shared" si="17"/>
        <v>#N/A</v>
      </c>
      <c r="EV18" s="310" t="e">
        <f t="shared" si="18"/>
        <v>#N/A</v>
      </c>
      <c r="FC18" s="239" t="str">
        <f t="shared" si="19"/>
        <v>Vertical Extension Bracket Option NA</v>
      </c>
      <c r="FF18" s="313" t="str">
        <f t="shared" si="20"/>
        <v>Other Bottom Rail Colour</v>
      </c>
      <c r="FJ18" s="311" t="b">
        <f t="shared" si="9"/>
        <v>0</v>
      </c>
      <c r="FL18" s="33" t="e">
        <f t="shared" si="21"/>
        <v>#N/A</v>
      </c>
      <c r="FM18" s="33" t="e">
        <f t="shared" si="22"/>
        <v>#N/A</v>
      </c>
    </row>
    <row r="19" spans="1:169" ht="30" customHeight="1">
      <c r="A19" s="52">
        <v>12</v>
      </c>
      <c r="B19" s="17"/>
      <c r="C19" s="17"/>
      <c r="D19" s="13"/>
      <c r="E19" s="13"/>
      <c r="F19" s="15"/>
      <c r="G19" s="10"/>
      <c r="H19" s="10"/>
      <c r="I19" s="14"/>
      <c r="J19" s="14"/>
      <c r="K19" s="280"/>
      <c r="L19" s="15"/>
      <c r="M19" s="15"/>
      <c r="N19" s="15"/>
      <c r="O19" s="13"/>
      <c r="P19" s="13"/>
      <c r="Q19" s="13"/>
      <c r="R19" s="13"/>
      <c r="S19" s="253" t="str">
        <f t="shared" si="3"/>
        <v/>
      </c>
      <c r="T19" s="175"/>
      <c r="U19" s="229"/>
      <c r="V19" s="230"/>
      <c r="BA19" s="33" t="str">
        <f t="shared" si="10"/>
        <v>Head Box Colour</v>
      </c>
      <c r="BM19" s="33" t="b">
        <f t="shared" si="4"/>
        <v>0</v>
      </c>
      <c r="BO19" s="33" t="s">
        <v>1645</v>
      </c>
      <c r="BT19" s="33" t="str">
        <f t="shared" si="5"/>
        <v>Chain Colour</v>
      </c>
      <c r="BU19" s="463" t="s">
        <v>2236</v>
      </c>
      <c r="BZ19" s="33" t="b">
        <f t="shared" si="11"/>
        <v>0</v>
      </c>
      <c r="CA19" s="199" t="s">
        <v>1743</v>
      </c>
      <c r="CB19"/>
      <c r="CC19" s="199" t="s">
        <v>1745</v>
      </c>
      <c r="CD19" s="199"/>
      <c r="CE19" s="311"/>
      <c r="CF19" s="311"/>
      <c r="CG19" s="199"/>
      <c r="CH19" s="199"/>
      <c r="CI19" s="199"/>
      <c r="CJ19" s="199"/>
      <c r="CK19" s="199"/>
      <c r="CL19" s="199"/>
      <c r="CM19" s="199"/>
      <c r="CN19" s="199"/>
      <c r="CO19" s="199"/>
      <c r="CP19" s="199"/>
      <c r="CQ19" s="199"/>
      <c r="CR19" s="199"/>
      <c r="CS19" s="199"/>
      <c r="CT19" s="443"/>
      <c r="CU19" s="443"/>
      <c r="CV19" s="443"/>
      <c r="CW19" s="443"/>
      <c r="CX19" s="443"/>
      <c r="CY19" s="443"/>
      <c r="CZ19" s="443"/>
      <c r="DA19" s="443"/>
      <c r="DB19" s="443"/>
      <c r="DC19" s="443"/>
      <c r="DD19" s="443"/>
      <c r="DE19" s="239" t="b">
        <f t="shared" si="6"/>
        <v>0</v>
      </c>
      <c r="DH19" s="239" t="str">
        <f t="shared" si="12"/>
        <v>Fabric Insert Option</v>
      </c>
      <c r="ET19" s="310" t="e">
        <f t="shared" si="16"/>
        <v>#N/A</v>
      </c>
      <c r="EU19" s="310" t="e">
        <f t="shared" si="17"/>
        <v>#N/A</v>
      </c>
      <c r="EV19" s="310" t="e">
        <f t="shared" si="18"/>
        <v>#N/A</v>
      </c>
      <c r="FC19" s="239" t="str">
        <f t="shared" si="19"/>
        <v>Vertical Extension Bracket Option NA</v>
      </c>
      <c r="FF19" s="313" t="str">
        <f t="shared" si="20"/>
        <v>Other Bottom Rail Colour</v>
      </c>
      <c r="FJ19" s="311" t="b">
        <f t="shared" si="9"/>
        <v>0</v>
      </c>
      <c r="FL19" s="33" t="e">
        <f t="shared" si="21"/>
        <v>#N/A</v>
      </c>
      <c r="FM19" s="33" t="e">
        <f t="shared" si="22"/>
        <v>#N/A</v>
      </c>
    </row>
    <row r="20" spans="1:169" ht="30" customHeight="1">
      <c r="A20" s="52">
        <v>13</v>
      </c>
      <c r="B20" s="17"/>
      <c r="C20" s="17"/>
      <c r="D20" s="13"/>
      <c r="E20" s="13"/>
      <c r="F20" s="15"/>
      <c r="G20" s="10"/>
      <c r="H20" s="10"/>
      <c r="I20" s="14"/>
      <c r="J20" s="14"/>
      <c r="K20" s="280"/>
      <c r="L20" s="15"/>
      <c r="M20" s="15"/>
      <c r="N20" s="15"/>
      <c r="O20" s="13"/>
      <c r="P20" s="13"/>
      <c r="Q20" s="13"/>
      <c r="R20" s="13"/>
      <c r="S20" s="253" t="str">
        <f t="shared" si="3"/>
        <v/>
      </c>
      <c r="T20" s="175"/>
      <c r="U20" s="229"/>
      <c r="V20" s="230"/>
      <c r="BA20" s="33" t="str">
        <f t="shared" si="10"/>
        <v>Head Box Colour</v>
      </c>
      <c r="BM20" s="33" t="b">
        <f t="shared" si="4"/>
        <v>0</v>
      </c>
      <c r="BO20" s="33" t="s">
        <v>1100</v>
      </c>
      <c r="BT20" s="33" t="str">
        <f t="shared" si="5"/>
        <v>Chain Colour</v>
      </c>
      <c r="BU20" s="312" t="s">
        <v>2056</v>
      </c>
      <c r="BZ20" s="33" t="b">
        <f t="shared" si="11"/>
        <v>0</v>
      </c>
      <c r="CA20" s="199" t="s">
        <v>1748</v>
      </c>
      <c r="CB20" s="199"/>
      <c r="CC20" s="199" t="s">
        <v>1749</v>
      </c>
      <c r="CD20" s="199"/>
      <c r="CE20" s="311"/>
      <c r="CF20" s="311" t="s">
        <v>1718</v>
      </c>
      <c r="CG20" s="199"/>
      <c r="CH20" s="199"/>
      <c r="CI20" s="199"/>
      <c r="CJ20" s="199"/>
      <c r="CK20" s="199"/>
      <c r="CL20" s="199"/>
      <c r="CM20" s="311"/>
      <c r="CN20" s="199"/>
      <c r="CO20" s="199"/>
      <c r="CP20" s="199"/>
      <c r="CQ20" s="199"/>
      <c r="CR20" s="199"/>
      <c r="CS20" s="199"/>
      <c r="CT20" s="199"/>
      <c r="CU20" s="199"/>
      <c r="CV20" s="199"/>
      <c r="CW20" s="199"/>
      <c r="CX20" s="199"/>
      <c r="CY20" s="199"/>
      <c r="CZ20" s="199"/>
      <c r="DA20" s="199"/>
      <c r="DB20" s="199"/>
      <c r="DC20" s="199"/>
      <c r="DD20" s="199"/>
      <c r="DE20" s="239" t="b">
        <f t="shared" si="6"/>
        <v>0</v>
      </c>
      <c r="DH20" s="239" t="str">
        <f t="shared" si="12"/>
        <v>Fabric Insert Option</v>
      </c>
      <c r="ET20" s="310" t="e">
        <f t="shared" si="16"/>
        <v>#N/A</v>
      </c>
      <c r="EU20" s="310" t="e">
        <f t="shared" si="17"/>
        <v>#N/A</v>
      </c>
      <c r="EV20" s="310" t="e">
        <f t="shared" si="18"/>
        <v>#N/A</v>
      </c>
      <c r="FC20" s="239" t="str">
        <f t="shared" si="19"/>
        <v>Vertical Extension Bracket Option NA</v>
      </c>
      <c r="FF20" s="313" t="str">
        <f t="shared" si="20"/>
        <v>Other Bottom Rail Colour</v>
      </c>
      <c r="FJ20" s="311" t="b">
        <f t="shared" si="9"/>
        <v>0</v>
      </c>
      <c r="FL20" s="33" t="e">
        <f t="shared" si="21"/>
        <v>#N/A</v>
      </c>
      <c r="FM20" s="33" t="e">
        <f t="shared" si="22"/>
        <v>#N/A</v>
      </c>
    </row>
    <row r="21" spans="1:169" ht="30" customHeight="1">
      <c r="A21" s="52">
        <v>14</v>
      </c>
      <c r="B21" s="17"/>
      <c r="C21" s="17"/>
      <c r="D21" s="13"/>
      <c r="E21" s="13"/>
      <c r="F21" s="15"/>
      <c r="G21" s="10"/>
      <c r="H21" s="10"/>
      <c r="I21" s="14"/>
      <c r="J21" s="14"/>
      <c r="K21" s="280"/>
      <c r="L21" s="15"/>
      <c r="M21" s="15"/>
      <c r="N21" s="15"/>
      <c r="O21" s="13"/>
      <c r="P21" s="13"/>
      <c r="Q21" s="13"/>
      <c r="R21" s="13"/>
      <c r="S21" s="253" t="str">
        <f t="shared" si="3"/>
        <v/>
      </c>
      <c r="T21" s="175"/>
      <c r="U21" s="229"/>
      <c r="V21" s="230"/>
      <c r="BA21" s="33" t="str">
        <f t="shared" si="10"/>
        <v>Head Box Colour</v>
      </c>
      <c r="BM21" s="33" t="b">
        <f t="shared" si="4"/>
        <v>0</v>
      </c>
      <c r="BO21" s="33" t="s">
        <v>1689</v>
      </c>
      <c r="BT21" s="33" t="str">
        <f t="shared" si="5"/>
        <v>Chain Colour</v>
      </c>
      <c r="BU21" s="463" t="s">
        <v>2235</v>
      </c>
      <c r="BZ21" s="33" t="b">
        <f t="shared" si="11"/>
        <v>0</v>
      </c>
      <c r="CA21" s="199" t="s">
        <v>1753</v>
      </c>
      <c r="CB21" s="199"/>
      <c r="CC21" s="199" t="s">
        <v>1754</v>
      </c>
      <c r="CD21" s="199"/>
      <c r="CE21" s="199"/>
      <c r="CF21" s="199"/>
      <c r="CG21" s="199"/>
      <c r="CH21" s="199"/>
      <c r="CI21" s="199"/>
      <c r="CJ21" s="199"/>
      <c r="CK21" s="199"/>
      <c r="CL21" s="199"/>
      <c r="CM21" s="199"/>
      <c r="CN21" s="199"/>
      <c r="CO21" s="199"/>
      <c r="CP21" s="199"/>
      <c r="CQ21" s="199"/>
      <c r="CR21" s="199"/>
      <c r="CS21" s="199"/>
      <c r="CT21" s="199"/>
      <c r="CU21" s="199"/>
      <c r="CV21" s="199"/>
      <c r="CW21" s="199"/>
      <c r="CX21" s="199"/>
      <c r="CY21" s="199"/>
      <c r="CZ21" s="199"/>
      <c r="DA21" s="199"/>
      <c r="DB21" s="199"/>
      <c r="DC21" s="199"/>
      <c r="DD21" s="199"/>
      <c r="DE21" s="239" t="b">
        <f t="shared" si="6"/>
        <v>0</v>
      </c>
      <c r="DH21" s="239" t="str">
        <f t="shared" si="12"/>
        <v>Fabric Insert Option</v>
      </c>
      <c r="ET21" s="310" t="e">
        <f t="shared" si="16"/>
        <v>#N/A</v>
      </c>
      <c r="EU21" s="310" t="e">
        <f t="shared" si="17"/>
        <v>#N/A</v>
      </c>
      <c r="EV21" s="310" t="e">
        <f t="shared" si="18"/>
        <v>#N/A</v>
      </c>
      <c r="FC21" s="239" t="str">
        <f t="shared" si="19"/>
        <v>Vertical Extension Bracket Option NA</v>
      </c>
      <c r="FF21" s="313" t="str">
        <f t="shared" si="20"/>
        <v>Other Bottom Rail Colour</v>
      </c>
      <c r="FJ21" s="311" t="b">
        <f t="shared" si="9"/>
        <v>0</v>
      </c>
      <c r="FL21" s="33" t="e">
        <f t="shared" si="21"/>
        <v>#N/A</v>
      </c>
      <c r="FM21" s="33" t="e">
        <f t="shared" si="22"/>
        <v>#N/A</v>
      </c>
    </row>
    <row r="22" spans="1:169" ht="30" customHeight="1">
      <c r="A22" s="52">
        <v>15</v>
      </c>
      <c r="B22" s="17"/>
      <c r="C22" s="17"/>
      <c r="D22" s="13"/>
      <c r="E22" s="13"/>
      <c r="F22" s="15"/>
      <c r="G22" s="10"/>
      <c r="H22" s="10"/>
      <c r="I22" s="14"/>
      <c r="J22" s="14"/>
      <c r="K22" s="280"/>
      <c r="L22" s="15"/>
      <c r="M22" s="15"/>
      <c r="N22" s="15"/>
      <c r="O22" s="13"/>
      <c r="P22" s="13"/>
      <c r="Q22" s="13"/>
      <c r="R22" s="13"/>
      <c r="S22" s="253" t="str">
        <f t="shared" si="3"/>
        <v/>
      </c>
      <c r="T22" s="175"/>
      <c r="U22" s="229"/>
      <c r="V22" s="230"/>
      <c r="BA22" s="33" t="str">
        <f t="shared" si="10"/>
        <v>Head Box Colour</v>
      </c>
      <c r="BM22" s="33" t="b">
        <f t="shared" si="4"/>
        <v>0</v>
      </c>
      <c r="BO22" s="33" t="s">
        <v>1703</v>
      </c>
      <c r="BT22" s="33" t="str">
        <f t="shared" si="5"/>
        <v>Chain Colour</v>
      </c>
      <c r="BU22" s="312" t="s">
        <v>2054</v>
      </c>
      <c r="BZ22" s="33" t="b">
        <f t="shared" si="11"/>
        <v>0</v>
      </c>
      <c r="CA22" s="199" t="s">
        <v>1755</v>
      </c>
      <c r="CB22" s="199"/>
      <c r="CC22" s="199"/>
      <c r="CD22" s="199"/>
      <c r="CE22" s="199"/>
      <c r="CF22" s="199"/>
      <c r="CG22" s="199"/>
      <c r="CH22" s="199"/>
      <c r="CI22" s="199"/>
      <c r="CJ22" s="199"/>
      <c r="CK22" s="199"/>
      <c r="CL22" s="199"/>
      <c r="CM22" s="199"/>
      <c r="CN22" s="199"/>
      <c r="CO22" s="199"/>
      <c r="CP22" s="199"/>
      <c r="CQ22" s="199"/>
      <c r="CR22" s="199"/>
      <c r="CS22" s="199"/>
      <c r="CT22" s="199"/>
      <c r="CU22" s="199"/>
      <c r="CV22" s="199"/>
      <c r="CW22" s="199"/>
      <c r="CX22" s="199"/>
      <c r="CY22" s="199"/>
      <c r="CZ22" s="199"/>
      <c r="DA22" s="199"/>
      <c r="DB22" s="199"/>
      <c r="DC22" s="199"/>
      <c r="DD22" s="199"/>
      <c r="DE22" s="239" t="b">
        <f t="shared" si="6"/>
        <v>0</v>
      </c>
      <c r="DH22" s="239" t="str">
        <f t="shared" si="12"/>
        <v>Fabric Insert Option</v>
      </c>
      <c r="ET22" s="310" t="e">
        <f t="shared" si="16"/>
        <v>#N/A</v>
      </c>
      <c r="EU22" s="310" t="e">
        <f t="shared" si="17"/>
        <v>#N/A</v>
      </c>
      <c r="EV22" s="310" t="e">
        <f t="shared" si="18"/>
        <v>#N/A</v>
      </c>
      <c r="FC22" s="239" t="str">
        <f t="shared" si="19"/>
        <v>Vertical Extension Bracket Option NA</v>
      </c>
      <c r="FF22" s="313" t="str">
        <f t="shared" si="20"/>
        <v>Other Bottom Rail Colour</v>
      </c>
      <c r="FJ22" s="311" t="b">
        <f t="shared" si="9"/>
        <v>0</v>
      </c>
      <c r="FL22" s="33" t="e">
        <f t="shared" si="21"/>
        <v>#N/A</v>
      </c>
      <c r="FM22" s="33" t="e">
        <f t="shared" si="22"/>
        <v>#N/A</v>
      </c>
    </row>
    <row r="23" spans="1:169" ht="30" customHeight="1">
      <c r="A23" s="52">
        <v>16</v>
      </c>
      <c r="B23" s="17"/>
      <c r="C23" s="17"/>
      <c r="D23" s="13"/>
      <c r="E23" s="13"/>
      <c r="F23" s="15"/>
      <c r="G23" s="10"/>
      <c r="H23" s="10"/>
      <c r="I23" s="14"/>
      <c r="J23" s="14"/>
      <c r="K23" s="280"/>
      <c r="L23" s="15"/>
      <c r="M23" s="15"/>
      <c r="N23" s="15"/>
      <c r="O23" s="13"/>
      <c r="P23" s="13"/>
      <c r="Q23" s="13"/>
      <c r="R23" s="13"/>
      <c r="S23" s="253" t="str">
        <f t="shared" si="3"/>
        <v/>
      </c>
      <c r="T23" s="175"/>
      <c r="U23" s="229"/>
      <c r="V23" s="230"/>
      <c r="BA23" s="33" t="str">
        <f t="shared" si="10"/>
        <v>Head Box Colour</v>
      </c>
      <c r="BM23" s="33" t="b">
        <f t="shared" si="4"/>
        <v>0</v>
      </c>
      <c r="BO23" s="33" t="s">
        <v>322</v>
      </c>
      <c r="BT23" s="33" t="str">
        <f t="shared" si="5"/>
        <v>Chain Colour</v>
      </c>
      <c r="BU23" s="312" t="s">
        <v>2055</v>
      </c>
      <c r="BZ23" s="33" t="b">
        <f t="shared" si="11"/>
        <v>0</v>
      </c>
      <c r="CA23" s="199" t="s">
        <v>1756</v>
      </c>
      <c r="CB23" s="199"/>
      <c r="CC23" s="199"/>
      <c r="CD23" s="199"/>
      <c r="CE23" s="199"/>
      <c r="CF23" s="199"/>
      <c r="CG23" s="199"/>
      <c r="CH23" s="199"/>
      <c r="CI23" s="199"/>
      <c r="CJ23" s="199"/>
      <c r="CK23" s="199"/>
      <c r="CL23" s="199"/>
      <c r="CM23" s="199"/>
      <c r="CN23" s="199"/>
      <c r="CO23" s="199"/>
      <c r="CP23" s="199"/>
      <c r="CQ23" s="199"/>
      <c r="CR23" s="199"/>
      <c r="CS23" s="199"/>
      <c r="CT23" s="199"/>
      <c r="CU23" s="199"/>
      <c r="CV23" s="199"/>
      <c r="CW23" s="199"/>
      <c r="CX23" s="199"/>
      <c r="CY23" s="199"/>
      <c r="CZ23" s="199"/>
      <c r="DA23" s="199"/>
      <c r="DB23" s="199"/>
      <c r="DC23" s="199"/>
      <c r="DD23" s="199"/>
      <c r="DE23" s="239" t="b">
        <f t="shared" si="6"/>
        <v>0</v>
      </c>
      <c r="DH23" s="239" t="str">
        <f t="shared" si="12"/>
        <v>Fabric Insert Option</v>
      </c>
      <c r="ET23" s="310" t="e">
        <f t="shared" si="16"/>
        <v>#N/A</v>
      </c>
      <c r="EU23" s="310" t="e">
        <f t="shared" si="17"/>
        <v>#N/A</v>
      </c>
      <c r="EV23" s="310" t="e">
        <f t="shared" si="18"/>
        <v>#N/A</v>
      </c>
      <c r="FC23" s="239" t="str">
        <f t="shared" si="19"/>
        <v>Vertical Extension Bracket Option NA</v>
      </c>
      <c r="FF23" s="313" t="str">
        <f t="shared" si="20"/>
        <v>Other Bottom Rail Colour</v>
      </c>
      <c r="FJ23" s="311" t="b">
        <f t="shared" si="9"/>
        <v>0</v>
      </c>
      <c r="FL23" s="33" t="e">
        <f t="shared" si="21"/>
        <v>#N/A</v>
      </c>
      <c r="FM23" s="33" t="e">
        <f t="shared" si="22"/>
        <v>#N/A</v>
      </c>
    </row>
    <row r="24" spans="1:169" ht="30" customHeight="1">
      <c r="A24" s="52">
        <v>17</v>
      </c>
      <c r="B24" s="17"/>
      <c r="C24" s="17"/>
      <c r="D24" s="19"/>
      <c r="E24" s="13"/>
      <c r="F24" s="15"/>
      <c r="G24" s="10"/>
      <c r="H24" s="10"/>
      <c r="I24" s="14"/>
      <c r="J24" s="14"/>
      <c r="K24" s="280"/>
      <c r="L24" s="15"/>
      <c r="M24" s="15"/>
      <c r="N24" s="15"/>
      <c r="O24" s="13"/>
      <c r="P24" s="13"/>
      <c r="Q24" s="13"/>
      <c r="R24" s="13"/>
      <c r="S24" s="253" t="str">
        <f t="shared" si="3"/>
        <v/>
      </c>
      <c r="T24" s="175"/>
      <c r="U24" s="229"/>
      <c r="V24" s="230"/>
      <c r="BA24" s="33" t="str">
        <f t="shared" si="10"/>
        <v>Head Box Colour</v>
      </c>
      <c r="BM24" s="33" t="b">
        <f t="shared" si="4"/>
        <v>0</v>
      </c>
      <c r="BO24" s="33" t="s">
        <v>326</v>
      </c>
      <c r="BT24" s="33" t="str">
        <f t="shared" si="5"/>
        <v>Chain Colour</v>
      </c>
      <c r="BU24" s="33" t="s">
        <v>1567</v>
      </c>
      <c r="BZ24" s="33" t="b">
        <f t="shared" si="11"/>
        <v>0</v>
      </c>
      <c r="CA24" s="199" t="s">
        <v>1757</v>
      </c>
      <c r="CB24" s="199"/>
      <c r="CC24" s="199"/>
      <c r="CD24" s="199"/>
      <c r="CE24" s="199"/>
      <c r="CF24" s="199"/>
      <c r="CG24" s="199"/>
      <c r="CH24" s="199"/>
      <c r="CI24" s="199"/>
      <c r="CJ24" s="199"/>
      <c r="CK24" s="199"/>
      <c r="CL24" s="199"/>
      <c r="CM24" s="199"/>
      <c r="CN24" s="199"/>
      <c r="CO24" s="199"/>
      <c r="CP24" s="199"/>
      <c r="CQ24" s="199"/>
      <c r="CR24" s="199"/>
      <c r="CS24" s="199"/>
      <c r="CT24" s="199"/>
      <c r="CU24" s="199"/>
      <c r="CV24" s="199"/>
      <c r="CW24" s="199"/>
      <c r="CX24" s="199"/>
      <c r="CY24" s="199"/>
      <c r="CZ24" s="199"/>
      <c r="DA24" s="199"/>
      <c r="DB24" s="199"/>
      <c r="DC24" s="199"/>
      <c r="DD24" s="199"/>
      <c r="DE24" s="239" t="b">
        <f t="shared" si="6"/>
        <v>0</v>
      </c>
      <c r="DH24" s="239" t="str">
        <f t="shared" si="12"/>
        <v>Fabric Insert Option</v>
      </c>
      <c r="ET24" s="310" t="e">
        <f t="shared" si="16"/>
        <v>#N/A</v>
      </c>
      <c r="EU24" s="310" t="e">
        <f t="shared" si="17"/>
        <v>#N/A</v>
      </c>
      <c r="EV24" s="310" t="e">
        <f t="shared" si="18"/>
        <v>#N/A</v>
      </c>
      <c r="FC24" s="239" t="str">
        <f t="shared" si="19"/>
        <v>Vertical Extension Bracket Option NA</v>
      </c>
      <c r="FF24" s="313" t="str">
        <f t="shared" si="20"/>
        <v>Other Bottom Rail Colour</v>
      </c>
      <c r="FJ24" s="311" t="b">
        <f t="shared" si="9"/>
        <v>0</v>
      </c>
      <c r="FL24" s="33" t="e">
        <f t="shared" si="21"/>
        <v>#N/A</v>
      </c>
      <c r="FM24" s="33" t="e">
        <f t="shared" si="22"/>
        <v>#N/A</v>
      </c>
    </row>
    <row r="25" spans="1:169" ht="30" customHeight="1">
      <c r="A25" s="52">
        <v>18</v>
      </c>
      <c r="B25" s="17"/>
      <c r="C25" s="17"/>
      <c r="D25" s="19"/>
      <c r="E25" s="13"/>
      <c r="F25" s="15"/>
      <c r="G25" s="10"/>
      <c r="H25" s="10"/>
      <c r="I25" s="14"/>
      <c r="J25" s="14"/>
      <c r="K25" s="280"/>
      <c r="L25" s="15"/>
      <c r="M25" s="15"/>
      <c r="N25" s="15"/>
      <c r="O25" s="13"/>
      <c r="P25" s="13"/>
      <c r="Q25" s="13"/>
      <c r="R25" s="13"/>
      <c r="S25" s="253" t="str">
        <f t="shared" si="3"/>
        <v/>
      </c>
      <c r="T25" s="175"/>
      <c r="U25" s="229"/>
      <c r="V25" s="230"/>
      <c r="BA25" s="33" t="str">
        <f t="shared" si="10"/>
        <v>Head Box Colour</v>
      </c>
      <c r="BM25" s="33" t="b">
        <f t="shared" si="4"/>
        <v>0</v>
      </c>
      <c r="BT25" s="33" t="str">
        <f t="shared" si="5"/>
        <v>Chain Colour</v>
      </c>
      <c r="BZ25" s="33" t="b">
        <f t="shared" si="11"/>
        <v>0</v>
      </c>
      <c r="CA25" s="199" t="s">
        <v>1758</v>
      </c>
      <c r="CB25" s="199"/>
      <c r="CC25" s="199"/>
      <c r="CD25" s="199"/>
      <c r="CE25" s="199"/>
      <c r="CF25" s="199"/>
      <c r="CG25" s="199"/>
      <c r="CH25" s="199"/>
      <c r="CI25" s="199"/>
      <c r="CJ25" s="199"/>
      <c r="CK25" s="199"/>
      <c r="CL25" s="199"/>
      <c r="CM25" s="199"/>
      <c r="CN25" s="199"/>
      <c r="CO25" s="199"/>
      <c r="CP25" s="199"/>
      <c r="CQ25" s="199"/>
      <c r="CR25" s="199"/>
      <c r="CS25" s="199"/>
      <c r="CT25" s="199"/>
      <c r="CU25" s="199"/>
      <c r="CV25" s="199"/>
      <c r="CW25" s="199"/>
      <c r="CX25" s="199"/>
      <c r="CY25" s="199"/>
      <c r="CZ25" s="199"/>
      <c r="DA25" s="199"/>
      <c r="DB25" s="199"/>
      <c r="DC25" s="199"/>
      <c r="DD25" s="199"/>
      <c r="DE25" s="239" t="b">
        <f t="shared" si="6"/>
        <v>0</v>
      </c>
      <c r="DH25" s="239" t="str">
        <f t="shared" si="12"/>
        <v>Fabric Insert Option</v>
      </c>
      <c r="ET25" s="310" t="e">
        <f t="shared" si="16"/>
        <v>#N/A</v>
      </c>
      <c r="EU25" s="310" t="e">
        <f t="shared" si="17"/>
        <v>#N/A</v>
      </c>
      <c r="EV25" s="310" t="e">
        <f t="shared" si="18"/>
        <v>#N/A</v>
      </c>
      <c r="FC25" s="239" t="str">
        <f t="shared" si="19"/>
        <v>Vertical Extension Bracket Option NA</v>
      </c>
      <c r="FF25" s="313" t="str">
        <f t="shared" si="20"/>
        <v>Other Bottom Rail Colour</v>
      </c>
      <c r="FJ25" s="311" t="b">
        <f t="shared" si="9"/>
        <v>0</v>
      </c>
      <c r="FL25" s="33" t="e">
        <f t="shared" si="21"/>
        <v>#N/A</v>
      </c>
      <c r="FM25" s="33" t="e">
        <f t="shared" si="22"/>
        <v>#N/A</v>
      </c>
    </row>
    <row r="26" spans="1:169" ht="30" customHeight="1">
      <c r="A26" s="52">
        <v>19</v>
      </c>
      <c r="B26" s="17"/>
      <c r="C26" s="17"/>
      <c r="D26" s="19"/>
      <c r="E26" s="13"/>
      <c r="F26" s="15"/>
      <c r="G26" s="10"/>
      <c r="H26" s="10"/>
      <c r="I26" s="14"/>
      <c r="J26" s="14"/>
      <c r="K26" s="280"/>
      <c r="L26" s="15"/>
      <c r="M26" s="15"/>
      <c r="N26" s="15"/>
      <c r="O26" s="13"/>
      <c r="P26" s="13"/>
      <c r="Q26" s="13"/>
      <c r="R26" s="13"/>
      <c r="S26" s="253" t="str">
        <f t="shared" si="3"/>
        <v/>
      </c>
      <c r="T26" s="175"/>
      <c r="U26" s="229"/>
      <c r="V26" s="230"/>
      <c r="BA26" s="33" t="str">
        <f t="shared" si="10"/>
        <v>Head Box Colour</v>
      </c>
      <c r="BM26" s="33" t="b">
        <f t="shared" si="4"/>
        <v>0</v>
      </c>
      <c r="BT26" s="33" t="str">
        <f t="shared" si="5"/>
        <v>Chain Colour</v>
      </c>
      <c r="BZ26" s="33" t="b">
        <f t="shared" si="11"/>
        <v>0</v>
      </c>
      <c r="CA26" s="199" t="s">
        <v>1759</v>
      </c>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239" t="b">
        <f t="shared" si="6"/>
        <v>0</v>
      </c>
      <c r="DH26" s="239" t="str">
        <f t="shared" si="12"/>
        <v>Fabric Insert Option</v>
      </c>
      <c r="ET26" s="310" t="e">
        <f t="shared" si="16"/>
        <v>#N/A</v>
      </c>
      <c r="EU26" s="310" t="e">
        <f t="shared" si="17"/>
        <v>#N/A</v>
      </c>
      <c r="EV26" s="310" t="e">
        <f t="shared" si="18"/>
        <v>#N/A</v>
      </c>
      <c r="FC26" s="239" t="str">
        <f t="shared" si="19"/>
        <v>Vertical Extension Bracket Option NA</v>
      </c>
      <c r="FF26" s="313" t="str">
        <f t="shared" si="20"/>
        <v>Other Bottom Rail Colour</v>
      </c>
      <c r="FJ26" s="311" t="b">
        <f t="shared" si="9"/>
        <v>0</v>
      </c>
      <c r="FL26" s="33" t="e">
        <f t="shared" si="21"/>
        <v>#N/A</v>
      </c>
      <c r="FM26" s="33" t="e">
        <f t="shared" si="22"/>
        <v>#N/A</v>
      </c>
    </row>
    <row r="27" spans="1:169" ht="30" customHeight="1">
      <c r="A27" s="52">
        <v>20</v>
      </c>
      <c r="B27" s="13"/>
      <c r="C27" s="13"/>
      <c r="D27" s="13"/>
      <c r="E27" s="13"/>
      <c r="F27" s="15"/>
      <c r="G27" s="10"/>
      <c r="H27" s="10"/>
      <c r="I27" s="14"/>
      <c r="J27" s="14"/>
      <c r="K27" s="280"/>
      <c r="L27" s="15"/>
      <c r="M27" s="15"/>
      <c r="N27" s="15"/>
      <c r="O27" s="13"/>
      <c r="P27" s="13"/>
      <c r="Q27" s="13"/>
      <c r="R27" s="13"/>
      <c r="S27" s="253" t="str">
        <f t="shared" si="3"/>
        <v/>
      </c>
      <c r="T27" s="175"/>
      <c r="U27" s="229"/>
      <c r="V27" s="230"/>
      <c r="BA27" s="33" t="str">
        <f t="shared" si="10"/>
        <v>Head Box Colour</v>
      </c>
      <c r="BM27" s="33" t="b">
        <f t="shared" si="4"/>
        <v>0</v>
      </c>
      <c r="BT27" s="33" t="str">
        <f t="shared" si="5"/>
        <v>Chain Colour</v>
      </c>
      <c r="BZ27" s="33" t="b">
        <f t="shared" si="11"/>
        <v>0</v>
      </c>
      <c r="CA27" s="199" t="s">
        <v>1760</v>
      </c>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239" t="b">
        <f t="shared" si="6"/>
        <v>0</v>
      </c>
      <c r="DH27" s="239" t="str">
        <f t="shared" si="12"/>
        <v>Fabric Insert Option</v>
      </c>
      <c r="ET27" s="310" t="e">
        <f t="shared" si="16"/>
        <v>#N/A</v>
      </c>
      <c r="EU27" s="310" t="e">
        <f t="shared" si="17"/>
        <v>#N/A</v>
      </c>
      <c r="EV27" s="310" t="e">
        <f t="shared" si="18"/>
        <v>#N/A</v>
      </c>
      <c r="FC27" s="239" t="str">
        <f t="shared" si="19"/>
        <v>Vertical Extension Bracket Option NA</v>
      </c>
      <c r="FF27" s="313" t="str">
        <f t="shared" si="20"/>
        <v>Other Bottom Rail Colour</v>
      </c>
      <c r="FJ27" s="311" t="b">
        <f t="shared" si="9"/>
        <v>0</v>
      </c>
      <c r="FL27" s="33" t="e">
        <f t="shared" si="21"/>
        <v>#N/A</v>
      </c>
      <c r="FM27" s="33" t="e">
        <f t="shared" si="22"/>
        <v>#N/A</v>
      </c>
    </row>
    <row r="28" spans="1:169" ht="30" customHeight="1">
      <c r="A28" s="52">
        <v>21</v>
      </c>
      <c r="B28" s="13"/>
      <c r="C28" s="13"/>
      <c r="D28" s="19"/>
      <c r="E28" s="13"/>
      <c r="F28" s="15"/>
      <c r="G28" s="10"/>
      <c r="H28" s="10"/>
      <c r="I28" s="14"/>
      <c r="J28" s="14"/>
      <c r="K28" s="280"/>
      <c r="L28" s="15"/>
      <c r="M28" s="15"/>
      <c r="N28" s="15"/>
      <c r="O28" s="13"/>
      <c r="P28" s="13"/>
      <c r="Q28" s="13"/>
      <c r="R28" s="13"/>
      <c r="S28" s="253" t="str">
        <f t="shared" si="3"/>
        <v/>
      </c>
      <c r="T28" s="175"/>
      <c r="U28" s="229"/>
      <c r="V28" s="230"/>
      <c r="BA28" s="33" t="str">
        <f t="shared" si="10"/>
        <v>Head Box Colour</v>
      </c>
      <c r="BM28" s="33" t="b">
        <f t="shared" si="4"/>
        <v>0</v>
      </c>
      <c r="BT28" s="33" t="str">
        <f t="shared" si="5"/>
        <v>Chain Colour</v>
      </c>
      <c r="BU28" s="33" t="s">
        <v>1574</v>
      </c>
      <c r="BZ28" s="33" t="b">
        <f t="shared" si="11"/>
        <v>0</v>
      </c>
      <c r="CA28" s="199" t="s">
        <v>1761</v>
      </c>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239" t="b">
        <f t="shared" si="6"/>
        <v>0</v>
      </c>
      <c r="DH28" s="239" t="str">
        <f t="shared" si="12"/>
        <v>Fabric Insert Option</v>
      </c>
      <c r="ET28" s="310" t="e">
        <f t="shared" si="16"/>
        <v>#N/A</v>
      </c>
      <c r="EU28" s="310" t="e">
        <f t="shared" si="17"/>
        <v>#N/A</v>
      </c>
      <c r="EV28" s="310" t="e">
        <f t="shared" si="18"/>
        <v>#N/A</v>
      </c>
      <c r="FC28" s="239" t="str">
        <f t="shared" si="19"/>
        <v>Vertical Extension Bracket Option NA</v>
      </c>
      <c r="FF28" s="313" t="str">
        <f t="shared" si="20"/>
        <v>Other Bottom Rail Colour</v>
      </c>
      <c r="FJ28" s="311" t="b">
        <f t="shared" si="9"/>
        <v>0</v>
      </c>
      <c r="FL28" s="33" t="e">
        <f t="shared" si="21"/>
        <v>#N/A</v>
      </c>
      <c r="FM28" s="33" t="e">
        <f t="shared" si="22"/>
        <v>#N/A</v>
      </c>
    </row>
    <row r="29" spans="1:169" ht="30" customHeight="1">
      <c r="A29" s="52">
        <v>22</v>
      </c>
      <c r="B29" s="13"/>
      <c r="C29" s="13"/>
      <c r="D29" s="19"/>
      <c r="E29" s="13"/>
      <c r="F29" s="15"/>
      <c r="G29" s="10"/>
      <c r="H29" s="10"/>
      <c r="I29" s="14"/>
      <c r="J29" s="14"/>
      <c r="K29" s="280"/>
      <c r="L29" s="15"/>
      <c r="M29" s="15"/>
      <c r="N29" s="15"/>
      <c r="O29" s="13"/>
      <c r="P29" s="13"/>
      <c r="Q29" s="13"/>
      <c r="R29" s="13"/>
      <c r="S29" s="253" t="str">
        <f t="shared" si="3"/>
        <v/>
      </c>
      <c r="T29" s="175"/>
      <c r="U29" s="229"/>
      <c r="V29" s="230"/>
      <c r="BA29" s="33" t="str">
        <f t="shared" si="10"/>
        <v>Head Box Colour</v>
      </c>
      <c r="BM29" s="33" t="b">
        <f t="shared" si="4"/>
        <v>0</v>
      </c>
      <c r="BT29" s="33" t="str">
        <f t="shared" si="5"/>
        <v>Chain Colour</v>
      </c>
      <c r="BU29" s="33" t="s">
        <v>26</v>
      </c>
      <c r="BZ29" s="33" t="b">
        <f t="shared" si="11"/>
        <v>0</v>
      </c>
      <c r="CA29" s="199" t="s">
        <v>1762</v>
      </c>
      <c r="CB29" s="199"/>
      <c r="CC29" s="199"/>
      <c r="CD29" s="199"/>
      <c r="CE29" s="199"/>
      <c r="CF29" s="199"/>
      <c r="CG29" s="199"/>
      <c r="CH29" s="199"/>
      <c r="CI29" s="199"/>
      <c r="CJ29" s="199"/>
      <c r="CK29" s="199"/>
      <c r="CL29" s="199"/>
      <c r="CM29" s="199"/>
      <c r="CN29" s="199"/>
      <c r="CO29" s="199"/>
      <c r="CP29" s="199"/>
      <c r="CQ29" s="199"/>
      <c r="CR29" s="199"/>
      <c r="CS29" s="199"/>
      <c r="CT29" s="199"/>
      <c r="CU29" s="199"/>
      <c r="CV29" s="199"/>
      <c r="CW29" s="199"/>
      <c r="CX29" s="199"/>
      <c r="CY29" s="199"/>
      <c r="CZ29" s="199"/>
      <c r="DA29" s="199"/>
      <c r="DB29" s="199"/>
      <c r="DC29" s="199"/>
      <c r="DD29" s="199"/>
      <c r="DE29" s="239" t="b">
        <f t="shared" si="6"/>
        <v>0</v>
      </c>
      <c r="DH29" s="239" t="str">
        <f t="shared" si="12"/>
        <v>Fabric Insert Option</v>
      </c>
      <c r="ET29" s="310" t="e">
        <f t="shared" si="16"/>
        <v>#N/A</v>
      </c>
      <c r="EU29" s="310" t="e">
        <f t="shared" si="17"/>
        <v>#N/A</v>
      </c>
      <c r="EV29" s="310" t="e">
        <f t="shared" si="18"/>
        <v>#N/A</v>
      </c>
      <c r="FC29" s="239" t="str">
        <f t="shared" si="19"/>
        <v>Vertical Extension Bracket Option NA</v>
      </c>
      <c r="FF29" s="313" t="str">
        <f t="shared" si="20"/>
        <v>Other Bottom Rail Colour</v>
      </c>
      <c r="FJ29" s="311" t="b">
        <f t="shared" si="9"/>
        <v>0</v>
      </c>
      <c r="FL29" s="33" t="e">
        <f t="shared" si="21"/>
        <v>#N/A</v>
      </c>
      <c r="FM29" s="33" t="e">
        <f t="shared" si="22"/>
        <v>#N/A</v>
      </c>
    </row>
    <row r="30" spans="1:169" ht="30" customHeight="1">
      <c r="A30" s="52">
        <v>23</v>
      </c>
      <c r="B30" s="13"/>
      <c r="C30" s="13"/>
      <c r="D30" s="13"/>
      <c r="E30" s="13"/>
      <c r="F30" s="15"/>
      <c r="G30" s="10"/>
      <c r="H30" s="10"/>
      <c r="I30" s="14"/>
      <c r="J30" s="14"/>
      <c r="K30" s="280"/>
      <c r="L30" s="15"/>
      <c r="M30" s="15"/>
      <c r="N30" s="15"/>
      <c r="O30" s="13"/>
      <c r="P30" s="13"/>
      <c r="Q30" s="13"/>
      <c r="R30" s="13"/>
      <c r="S30" s="253" t="str">
        <f t="shared" si="3"/>
        <v/>
      </c>
      <c r="T30" s="175"/>
      <c r="U30" s="229"/>
      <c r="V30" s="230"/>
      <c r="BA30" s="33" t="str">
        <f t="shared" si="10"/>
        <v>Head Box Colour</v>
      </c>
      <c r="BM30" s="33" t="b">
        <f t="shared" si="4"/>
        <v>0</v>
      </c>
      <c r="BT30" s="33" t="str">
        <f t="shared" si="5"/>
        <v>Chain Colour</v>
      </c>
      <c r="BU30" s="33" t="s">
        <v>1569</v>
      </c>
      <c r="BZ30" s="33" t="b">
        <f t="shared" si="11"/>
        <v>0</v>
      </c>
      <c r="CA30" s="199" t="s">
        <v>1763</v>
      </c>
      <c r="CB30" s="199"/>
      <c r="CC30" s="199"/>
      <c r="CD30" s="199"/>
      <c r="CE30" s="199"/>
      <c r="CF30" s="199"/>
      <c r="CG30" s="199"/>
      <c r="CH30" s="199"/>
      <c r="CI30" s="199"/>
      <c r="CJ30" s="199"/>
      <c r="CK30" s="199"/>
      <c r="CL30" s="199"/>
      <c r="CM30" s="199"/>
      <c r="CN30" s="199"/>
      <c r="CO30" s="199"/>
      <c r="CP30" s="199"/>
      <c r="CQ30" s="199"/>
      <c r="CR30" s="199"/>
      <c r="CS30" s="199"/>
      <c r="CT30" s="199"/>
      <c r="CU30" s="199"/>
      <c r="CV30" s="199"/>
      <c r="CW30" s="199"/>
      <c r="CX30" s="199"/>
      <c r="CY30" s="199"/>
      <c r="CZ30" s="199"/>
      <c r="DA30" s="199"/>
      <c r="DB30" s="199"/>
      <c r="DC30" s="199"/>
      <c r="DD30" s="199"/>
      <c r="DE30" s="239" t="b">
        <f t="shared" si="6"/>
        <v>0</v>
      </c>
      <c r="DH30" s="239" t="str">
        <f t="shared" si="12"/>
        <v>Fabric Insert Option</v>
      </c>
      <c r="ET30" s="310" t="e">
        <f t="shared" si="16"/>
        <v>#N/A</v>
      </c>
      <c r="EU30" s="310" t="e">
        <f t="shared" si="17"/>
        <v>#N/A</v>
      </c>
      <c r="EV30" s="310" t="e">
        <f t="shared" si="18"/>
        <v>#N/A</v>
      </c>
      <c r="FC30" s="239" t="str">
        <f t="shared" si="19"/>
        <v>Vertical Extension Bracket Option NA</v>
      </c>
      <c r="FF30" s="313" t="str">
        <f t="shared" si="20"/>
        <v>Other Bottom Rail Colour</v>
      </c>
      <c r="FJ30" s="311" t="b">
        <f t="shared" si="9"/>
        <v>0</v>
      </c>
      <c r="FL30" s="33" t="e">
        <f t="shared" si="21"/>
        <v>#N/A</v>
      </c>
      <c r="FM30" s="33" t="e">
        <f t="shared" si="22"/>
        <v>#N/A</v>
      </c>
    </row>
    <row r="31" spans="1:169" ht="30" customHeight="1">
      <c r="A31" s="52">
        <v>24</v>
      </c>
      <c r="B31" s="13"/>
      <c r="C31" s="13"/>
      <c r="D31" s="19"/>
      <c r="E31" s="13"/>
      <c r="F31" s="15"/>
      <c r="G31" s="10"/>
      <c r="H31" s="10"/>
      <c r="I31" s="14"/>
      <c r="J31" s="10"/>
      <c r="K31" s="283"/>
      <c r="L31" s="15"/>
      <c r="M31" s="15"/>
      <c r="N31" s="15"/>
      <c r="O31" s="13"/>
      <c r="P31" s="13"/>
      <c r="Q31" s="13"/>
      <c r="R31" s="13"/>
      <c r="S31" s="253" t="str">
        <f t="shared" si="3"/>
        <v/>
      </c>
      <c r="T31" s="175"/>
      <c r="U31" s="229"/>
      <c r="V31" s="230"/>
      <c r="BA31" s="33" t="str">
        <f t="shared" si="10"/>
        <v>Head Box Colour</v>
      </c>
      <c r="BM31" s="33" t="b">
        <f t="shared" si="4"/>
        <v>0</v>
      </c>
      <c r="BT31" s="33" t="str">
        <f t="shared" si="5"/>
        <v>Chain Colour</v>
      </c>
      <c r="BZ31" s="33" t="b">
        <f t="shared" si="11"/>
        <v>0</v>
      </c>
      <c r="CA31" s="199" t="s">
        <v>1764</v>
      </c>
      <c r="CB31" s="199"/>
      <c r="CC31" s="199"/>
      <c r="CD31" s="199"/>
      <c r="CE31" s="199"/>
      <c r="CF31" s="199"/>
      <c r="CG31" s="199"/>
      <c r="CH31" s="199"/>
      <c r="CI31" s="199"/>
      <c r="CJ31" s="199"/>
      <c r="CK31" s="199"/>
      <c r="CL31" s="199"/>
      <c r="CM31" s="199"/>
      <c r="CN31" s="199"/>
      <c r="CO31" s="199"/>
      <c r="CP31" s="199"/>
      <c r="CQ31" s="199"/>
      <c r="CR31" s="199"/>
      <c r="CS31" s="199"/>
      <c r="CT31" s="199"/>
      <c r="CU31" s="199"/>
      <c r="CV31" s="199"/>
      <c r="CW31" s="199"/>
      <c r="CX31" s="199"/>
      <c r="CY31" s="199"/>
      <c r="CZ31" s="199"/>
      <c r="DA31" s="199"/>
      <c r="DB31" s="199"/>
      <c r="DC31" s="199"/>
      <c r="DD31" s="199"/>
      <c r="DE31" s="239" t="b">
        <f t="shared" si="6"/>
        <v>0</v>
      </c>
      <c r="DH31" s="239" t="str">
        <f t="shared" si="12"/>
        <v>Fabric Insert Option</v>
      </c>
      <c r="ET31" s="310" t="e">
        <f t="shared" si="16"/>
        <v>#N/A</v>
      </c>
      <c r="EU31" s="310" t="e">
        <f t="shared" si="17"/>
        <v>#N/A</v>
      </c>
      <c r="EV31" s="310" t="e">
        <f t="shared" si="18"/>
        <v>#N/A</v>
      </c>
      <c r="FC31" s="239" t="str">
        <f t="shared" si="19"/>
        <v>Vertical Extension Bracket Option NA</v>
      </c>
      <c r="FF31" s="313" t="str">
        <f t="shared" si="20"/>
        <v>Other Bottom Rail Colour</v>
      </c>
      <c r="FJ31" s="311" t="b">
        <f t="shared" si="9"/>
        <v>0</v>
      </c>
      <c r="FL31" s="33" t="e">
        <f t="shared" si="21"/>
        <v>#N/A</v>
      </c>
      <c r="FM31" s="33" t="e">
        <f t="shared" si="22"/>
        <v>#N/A</v>
      </c>
    </row>
    <row r="32" spans="1:169" ht="30" customHeight="1">
      <c r="A32" s="52">
        <v>25</v>
      </c>
      <c r="B32" s="13"/>
      <c r="C32" s="13"/>
      <c r="D32" s="19"/>
      <c r="E32" s="13"/>
      <c r="F32" s="15"/>
      <c r="G32" s="10"/>
      <c r="H32" s="10"/>
      <c r="I32" s="14"/>
      <c r="J32" s="14"/>
      <c r="K32" s="280"/>
      <c r="L32" s="15"/>
      <c r="M32" s="15"/>
      <c r="N32" s="15"/>
      <c r="O32" s="13"/>
      <c r="P32" s="13"/>
      <c r="Q32" s="13"/>
      <c r="R32" s="13"/>
      <c r="S32" s="253" t="str">
        <f t="shared" si="3"/>
        <v/>
      </c>
      <c r="T32" s="175"/>
      <c r="U32" s="229"/>
      <c r="V32" s="230"/>
      <c r="BA32" s="33" t="str">
        <f t="shared" si="10"/>
        <v>Head Box Colour</v>
      </c>
      <c r="BM32" s="33" t="b">
        <f t="shared" si="4"/>
        <v>0</v>
      </c>
      <c r="BT32" s="33" t="str">
        <f t="shared" si="5"/>
        <v>Chain Colour</v>
      </c>
      <c r="BZ32" s="33" t="b">
        <f t="shared" si="11"/>
        <v>0</v>
      </c>
      <c r="CA32" s="199" t="s">
        <v>1765</v>
      </c>
      <c r="CB32" s="199"/>
      <c r="CC32" s="199"/>
      <c r="CD32" s="199"/>
      <c r="CE32" s="199"/>
      <c r="CF32" s="199"/>
      <c r="CG32" s="199"/>
      <c r="CH32" s="199"/>
      <c r="CI32" s="199"/>
      <c r="CJ32" s="199"/>
      <c r="CK32" s="199"/>
      <c r="CL32" s="199"/>
      <c r="CM32" s="199"/>
      <c r="CN32" s="199"/>
      <c r="CO32" s="199"/>
      <c r="CP32" s="199"/>
      <c r="CQ32" s="199"/>
      <c r="CR32" s="199"/>
      <c r="CS32" s="199"/>
      <c r="CT32" s="199"/>
      <c r="CU32" s="199"/>
      <c r="CV32" s="199"/>
      <c r="CW32" s="199"/>
      <c r="CX32" s="199"/>
      <c r="CY32" s="199"/>
      <c r="CZ32" s="199"/>
      <c r="DA32" s="199"/>
      <c r="DB32" s="199"/>
      <c r="DC32" s="199"/>
      <c r="DD32" s="199"/>
      <c r="DE32" s="239" t="b">
        <f t="shared" si="6"/>
        <v>0</v>
      </c>
      <c r="DH32" s="239" t="str">
        <f t="shared" si="12"/>
        <v>Fabric Insert Option</v>
      </c>
      <c r="ET32" s="310" t="e">
        <f t="shared" si="16"/>
        <v>#N/A</v>
      </c>
      <c r="EU32" s="310" t="e">
        <f t="shared" si="17"/>
        <v>#N/A</v>
      </c>
      <c r="EV32" s="310" t="e">
        <f t="shared" si="18"/>
        <v>#N/A</v>
      </c>
      <c r="FC32" s="239" t="str">
        <f t="shared" si="19"/>
        <v>Vertical Extension Bracket Option NA</v>
      </c>
      <c r="FF32" s="313" t="str">
        <f t="shared" si="20"/>
        <v>Other Bottom Rail Colour</v>
      </c>
      <c r="FJ32" s="311" t="b">
        <f t="shared" si="9"/>
        <v>0</v>
      </c>
      <c r="FL32" s="33" t="e">
        <f t="shared" si="21"/>
        <v>#N/A</v>
      </c>
      <c r="FM32" s="33" t="e">
        <f t="shared" si="22"/>
        <v>#N/A</v>
      </c>
    </row>
    <row r="33" spans="1:169" ht="30" customHeight="1">
      <c r="A33" s="52">
        <v>26</v>
      </c>
      <c r="B33" s="13"/>
      <c r="C33" s="13"/>
      <c r="D33" s="19"/>
      <c r="E33" s="13"/>
      <c r="F33" s="15"/>
      <c r="G33" s="10"/>
      <c r="H33" s="10"/>
      <c r="I33" s="14"/>
      <c r="J33" s="14"/>
      <c r="K33" s="280"/>
      <c r="L33" s="15"/>
      <c r="M33" s="15"/>
      <c r="N33" s="15"/>
      <c r="O33" s="13"/>
      <c r="P33" s="13"/>
      <c r="Q33" s="13"/>
      <c r="R33" s="13"/>
      <c r="S33" s="253" t="str">
        <f t="shared" si="3"/>
        <v/>
      </c>
      <c r="T33" s="175"/>
      <c r="U33" s="229"/>
      <c r="V33" s="230"/>
      <c r="BA33" s="33" t="str">
        <f t="shared" si="10"/>
        <v>Head Box Colour</v>
      </c>
      <c r="BM33" s="33" t="b">
        <f t="shared" si="4"/>
        <v>0</v>
      </c>
      <c r="BT33" s="33" t="str">
        <f t="shared" si="5"/>
        <v>Chain Colour</v>
      </c>
      <c r="BZ33" s="33" t="b">
        <f t="shared" si="11"/>
        <v>0</v>
      </c>
      <c r="CA33"/>
      <c r="CB33" s="206" t="s">
        <v>1615</v>
      </c>
      <c r="CC33"/>
      <c r="CD33"/>
      <c r="CE33" s="206" t="s">
        <v>1634</v>
      </c>
      <c r="CF33" s="206" t="s">
        <v>1694</v>
      </c>
      <c r="CG33"/>
      <c r="CH33"/>
      <c r="CI33"/>
      <c r="CJ33"/>
      <c r="CK33" s="206" t="s">
        <v>1624</v>
      </c>
      <c r="CL33"/>
      <c r="CM33" s="206" t="s">
        <v>1712</v>
      </c>
      <c r="CN33"/>
      <c r="CO33"/>
      <c r="CP33"/>
      <c r="CQ33"/>
      <c r="CR33"/>
      <c r="CS33"/>
      <c r="CT33"/>
      <c r="CU33"/>
      <c r="CV33"/>
      <c r="CW33"/>
      <c r="CX33"/>
      <c r="CY33"/>
      <c r="CZ33"/>
      <c r="DA33"/>
      <c r="DB33"/>
      <c r="DC33"/>
      <c r="DD33"/>
      <c r="DH33" s="239" t="str">
        <f t="shared" si="12"/>
        <v>Fabric Insert Option</v>
      </c>
      <c r="ET33" s="310" t="e">
        <f t="shared" si="16"/>
        <v>#N/A</v>
      </c>
      <c r="EU33" s="310" t="e">
        <f t="shared" si="17"/>
        <v>#N/A</v>
      </c>
      <c r="EV33" s="310" t="e">
        <f t="shared" si="18"/>
        <v>#N/A</v>
      </c>
      <c r="FC33" s="239" t="str">
        <f t="shared" si="19"/>
        <v>Vertical Extension Bracket Option NA</v>
      </c>
      <c r="FF33" s="313" t="str">
        <f t="shared" si="20"/>
        <v>Other Bottom Rail Colour</v>
      </c>
      <c r="FJ33" s="311" t="b">
        <f t="shared" si="9"/>
        <v>0</v>
      </c>
      <c r="FL33" s="33" t="e">
        <f t="shared" si="21"/>
        <v>#N/A</v>
      </c>
      <c r="FM33" s="33" t="e">
        <f t="shared" si="22"/>
        <v>#N/A</v>
      </c>
    </row>
    <row r="34" spans="1:169" ht="30" customHeight="1">
      <c r="A34" s="52">
        <v>27</v>
      </c>
      <c r="B34" s="13"/>
      <c r="C34" s="13"/>
      <c r="D34" s="19"/>
      <c r="E34" s="13"/>
      <c r="F34" s="15"/>
      <c r="G34" s="10"/>
      <c r="H34" s="10"/>
      <c r="I34" s="14"/>
      <c r="J34" s="14"/>
      <c r="K34" s="280"/>
      <c r="L34" s="15"/>
      <c r="M34" s="15"/>
      <c r="N34" s="15"/>
      <c r="O34" s="13"/>
      <c r="P34" s="13"/>
      <c r="Q34" s="13"/>
      <c r="R34" s="13"/>
      <c r="S34" s="253" t="str">
        <f t="shared" si="3"/>
        <v/>
      </c>
      <c r="T34" s="175"/>
      <c r="U34" s="229"/>
      <c r="V34" s="230"/>
      <c r="BA34" s="33" t="str">
        <f t="shared" si="10"/>
        <v>Head Box Colour</v>
      </c>
      <c r="BM34" s="33" t="b">
        <f t="shared" si="4"/>
        <v>0</v>
      </c>
      <c r="BT34" s="33" t="str">
        <f t="shared" si="5"/>
        <v>Chain Colour</v>
      </c>
      <c r="BZ34" s="33" t="b">
        <f t="shared" si="11"/>
        <v>0</v>
      </c>
      <c r="CA34"/>
      <c r="CB34"/>
      <c r="CC34"/>
      <c r="CD34"/>
      <c r="CE34" s="206" t="s">
        <v>1707</v>
      </c>
      <c r="CF34" s="206" t="s">
        <v>1708</v>
      </c>
      <c r="CG34"/>
      <c r="CH34"/>
      <c r="CI34"/>
      <c r="CJ34"/>
      <c r="CK34"/>
      <c r="CL34"/>
      <c r="CM34" s="206" t="s">
        <v>1729</v>
      </c>
      <c r="CN34"/>
      <c r="CO34"/>
      <c r="CP34"/>
      <c r="CQ34"/>
      <c r="CR34"/>
      <c r="CS34"/>
      <c r="CT34"/>
      <c r="CU34"/>
      <c r="CV34"/>
      <c r="CW34"/>
      <c r="CX34"/>
      <c r="CY34"/>
      <c r="CZ34"/>
      <c r="DA34"/>
      <c r="DB34"/>
      <c r="DC34"/>
      <c r="DD34"/>
      <c r="DH34" s="239" t="str">
        <f t="shared" si="12"/>
        <v>Fabric Insert Option</v>
      </c>
      <c r="ET34" s="310" t="e">
        <f t="shared" si="16"/>
        <v>#N/A</v>
      </c>
      <c r="EU34" s="310" t="e">
        <f t="shared" si="17"/>
        <v>#N/A</v>
      </c>
      <c r="EV34" s="310" t="e">
        <f t="shared" si="18"/>
        <v>#N/A</v>
      </c>
      <c r="FC34" s="239" t="str">
        <f t="shared" si="19"/>
        <v>Vertical Extension Bracket Option NA</v>
      </c>
      <c r="FF34" s="313" t="str">
        <f t="shared" si="20"/>
        <v>Other Bottom Rail Colour</v>
      </c>
      <c r="FJ34" s="311" t="b">
        <f t="shared" si="9"/>
        <v>0</v>
      </c>
      <c r="FL34" s="33" t="e">
        <f t="shared" si="21"/>
        <v>#N/A</v>
      </c>
      <c r="FM34" s="33" t="e">
        <f t="shared" si="22"/>
        <v>#N/A</v>
      </c>
    </row>
    <row r="35" spans="1:169" ht="30" customHeight="1">
      <c r="A35" s="52">
        <v>28</v>
      </c>
      <c r="B35" s="13"/>
      <c r="C35" s="13"/>
      <c r="D35" s="19"/>
      <c r="E35" s="13"/>
      <c r="F35" s="15"/>
      <c r="G35" s="10"/>
      <c r="H35" s="10"/>
      <c r="I35" s="14"/>
      <c r="J35" s="14"/>
      <c r="K35" s="280"/>
      <c r="L35" s="15"/>
      <c r="M35" s="15"/>
      <c r="N35" s="15"/>
      <c r="O35" s="13"/>
      <c r="P35" s="13"/>
      <c r="Q35" s="13"/>
      <c r="R35" s="13"/>
      <c r="S35" s="253" t="str">
        <f t="shared" si="3"/>
        <v/>
      </c>
      <c r="T35" s="175"/>
      <c r="U35" s="229"/>
      <c r="V35" s="230"/>
      <c r="BA35" s="33" t="str">
        <f t="shared" si="10"/>
        <v>Head Box Colour</v>
      </c>
      <c r="BM35" s="33" t="b">
        <f t="shared" si="4"/>
        <v>0</v>
      </c>
      <c r="BT35" s="33" t="str">
        <f t="shared" si="5"/>
        <v>Chain Colour</v>
      </c>
      <c r="BZ35" s="33" t="b">
        <f t="shared" si="11"/>
        <v>0</v>
      </c>
      <c r="CA35"/>
      <c r="CB35"/>
      <c r="CC35"/>
      <c r="CD35"/>
      <c r="CE35" s="206" t="s">
        <v>1693</v>
      </c>
      <c r="CF35" s="206" t="s">
        <v>1718</v>
      </c>
      <c r="CG35"/>
      <c r="CH35"/>
      <c r="CI35"/>
      <c r="CJ35"/>
      <c r="CK35"/>
      <c r="CL35"/>
      <c r="CM35" s="206" t="s">
        <v>1642</v>
      </c>
      <c r="CN35"/>
      <c r="CO35"/>
      <c r="CP35"/>
      <c r="CQ35"/>
      <c r="CR35"/>
      <c r="CS35"/>
      <c r="CT35"/>
      <c r="CU35"/>
      <c r="CV35"/>
      <c r="CW35"/>
      <c r="CX35"/>
      <c r="CY35"/>
      <c r="CZ35"/>
      <c r="DA35"/>
      <c r="DB35"/>
      <c r="DC35"/>
      <c r="DD35"/>
      <c r="DH35" s="239" t="str">
        <f t="shared" si="12"/>
        <v>Fabric Insert Option</v>
      </c>
      <c r="ET35" s="310" t="e">
        <f t="shared" si="16"/>
        <v>#N/A</v>
      </c>
      <c r="EU35" s="310" t="e">
        <f t="shared" si="17"/>
        <v>#N/A</v>
      </c>
      <c r="EV35" s="310" t="e">
        <f t="shared" si="18"/>
        <v>#N/A</v>
      </c>
      <c r="FC35" s="239" t="str">
        <f t="shared" si="19"/>
        <v>Vertical Extension Bracket Option NA</v>
      </c>
      <c r="FF35" s="313" t="str">
        <f t="shared" si="20"/>
        <v>Other Bottom Rail Colour</v>
      </c>
      <c r="FJ35" s="311" t="b">
        <f t="shared" si="9"/>
        <v>0</v>
      </c>
      <c r="FL35" s="33" t="e">
        <f t="shared" si="21"/>
        <v>#N/A</v>
      </c>
      <c r="FM35" s="33" t="e">
        <f t="shared" si="22"/>
        <v>#N/A</v>
      </c>
    </row>
    <row r="36" spans="1:169" ht="30" customHeight="1">
      <c r="A36" s="52">
        <v>29</v>
      </c>
      <c r="B36" s="13"/>
      <c r="C36" s="13"/>
      <c r="D36" s="19"/>
      <c r="E36" s="13"/>
      <c r="F36" s="15"/>
      <c r="G36" s="10"/>
      <c r="H36" s="10"/>
      <c r="I36" s="14"/>
      <c r="J36" s="14"/>
      <c r="K36" s="280"/>
      <c r="L36" s="15"/>
      <c r="M36" s="15"/>
      <c r="N36" s="15"/>
      <c r="O36" s="13"/>
      <c r="P36" s="13"/>
      <c r="Q36" s="13"/>
      <c r="R36" s="13"/>
      <c r="S36" s="253" t="str">
        <f t="shared" si="3"/>
        <v/>
      </c>
      <c r="T36" s="175"/>
      <c r="U36" s="229"/>
      <c r="V36" s="230"/>
      <c r="BA36" s="33" t="str">
        <f t="shared" si="10"/>
        <v>Head Box Colour</v>
      </c>
      <c r="BM36" s="33" t="b">
        <f t="shared" si="4"/>
        <v>0</v>
      </c>
      <c r="BT36" s="33" t="str">
        <f t="shared" si="5"/>
        <v>Chain Colour</v>
      </c>
      <c r="BZ36" s="33" t="b">
        <f t="shared" si="11"/>
        <v>0</v>
      </c>
      <c r="CA36"/>
      <c r="CB36"/>
      <c r="CC36"/>
      <c r="CD36"/>
      <c r="CE36" s="206" t="s">
        <v>1726</v>
      </c>
      <c r="CF36"/>
      <c r="CG36"/>
      <c r="CH36"/>
      <c r="CI36"/>
      <c r="CJ36"/>
      <c r="CK36"/>
      <c r="CL36"/>
      <c r="CM36" s="206" t="s">
        <v>1658</v>
      </c>
      <c r="CN36"/>
      <c r="CO36"/>
      <c r="CP36"/>
      <c r="CQ36"/>
      <c r="CR36"/>
      <c r="CS36"/>
      <c r="CT36"/>
      <c r="CU36"/>
      <c r="CV36"/>
      <c r="CW36"/>
      <c r="CX36"/>
      <c r="CY36"/>
      <c r="CZ36"/>
      <c r="DA36"/>
      <c r="DB36"/>
      <c r="DC36"/>
      <c r="DD36"/>
      <c r="DH36" s="239" t="str">
        <f t="shared" si="12"/>
        <v>Fabric Insert Option</v>
      </c>
      <c r="ET36" s="310" t="e">
        <f t="shared" si="16"/>
        <v>#N/A</v>
      </c>
      <c r="EU36" s="310" t="e">
        <f t="shared" si="17"/>
        <v>#N/A</v>
      </c>
      <c r="EV36" s="310" t="e">
        <f t="shared" si="18"/>
        <v>#N/A</v>
      </c>
      <c r="FC36" s="239" t="str">
        <f t="shared" si="19"/>
        <v>Vertical Extension Bracket Option NA</v>
      </c>
      <c r="FF36" s="313" t="str">
        <f t="shared" si="20"/>
        <v>Other Bottom Rail Colour</v>
      </c>
      <c r="FJ36" s="311" t="b">
        <f t="shared" si="9"/>
        <v>0</v>
      </c>
      <c r="FL36" s="33" t="e">
        <f t="shared" si="21"/>
        <v>#N/A</v>
      </c>
      <c r="FM36" s="33" t="e">
        <f t="shared" si="22"/>
        <v>#N/A</v>
      </c>
    </row>
    <row r="37" spans="1:169" ht="30" customHeight="1">
      <c r="A37" s="52">
        <v>30</v>
      </c>
      <c r="B37" s="13"/>
      <c r="C37" s="13"/>
      <c r="D37" s="19"/>
      <c r="E37" s="13"/>
      <c r="F37" s="15"/>
      <c r="G37" s="10"/>
      <c r="H37" s="10"/>
      <c r="I37" s="14"/>
      <c r="J37" s="14"/>
      <c r="K37" s="280"/>
      <c r="L37" s="15"/>
      <c r="M37" s="15"/>
      <c r="N37" s="15"/>
      <c r="O37" s="13"/>
      <c r="P37" s="13"/>
      <c r="Q37" s="13"/>
      <c r="R37" s="13"/>
      <c r="S37" s="253" t="str">
        <f t="shared" si="3"/>
        <v/>
      </c>
      <c r="T37" s="175"/>
      <c r="U37" s="229"/>
      <c r="V37" s="230"/>
      <c r="BA37" s="33" t="str">
        <f t="shared" si="10"/>
        <v>Head Box Colour</v>
      </c>
      <c r="BM37" s="33" t="b">
        <f t="shared" si="4"/>
        <v>0</v>
      </c>
      <c r="BT37" s="33" t="str">
        <f t="shared" si="5"/>
        <v>Chain Colour</v>
      </c>
      <c r="BZ37" s="33" t="b">
        <f t="shared" si="11"/>
        <v>0</v>
      </c>
      <c r="CA37"/>
      <c r="CB37"/>
      <c r="CC37"/>
      <c r="CD37"/>
      <c r="CE37"/>
      <c r="CF37"/>
      <c r="CG37"/>
      <c r="CH37"/>
      <c r="CI37"/>
      <c r="CJ37"/>
      <c r="CK37"/>
      <c r="CL37"/>
      <c r="CM37"/>
      <c r="CN37"/>
      <c r="CO37"/>
      <c r="CP37"/>
      <c r="CQ37"/>
      <c r="CR37"/>
      <c r="CS37"/>
      <c r="CT37"/>
      <c r="CU37"/>
      <c r="CV37"/>
      <c r="CW37"/>
      <c r="CX37"/>
      <c r="CY37"/>
      <c r="CZ37"/>
      <c r="DA37"/>
      <c r="DB37"/>
      <c r="DC37"/>
      <c r="DD37"/>
      <c r="DH37" s="239" t="str">
        <f t="shared" si="12"/>
        <v>Fabric Insert Option</v>
      </c>
      <c r="ET37" s="310" t="e">
        <f t="shared" si="16"/>
        <v>#N/A</v>
      </c>
      <c r="EU37" s="310" t="e">
        <f t="shared" si="17"/>
        <v>#N/A</v>
      </c>
      <c r="EV37" s="310" t="e">
        <f t="shared" si="18"/>
        <v>#N/A</v>
      </c>
      <c r="FC37" s="239" t="str">
        <f t="shared" si="19"/>
        <v>Vertical Extension Bracket Option NA</v>
      </c>
      <c r="FF37" s="313" t="str">
        <f t="shared" si="20"/>
        <v>Other Bottom Rail Colour</v>
      </c>
      <c r="FJ37" s="311" t="b">
        <f t="shared" si="9"/>
        <v>0</v>
      </c>
      <c r="FL37" s="33" t="e">
        <f t="shared" si="21"/>
        <v>#N/A</v>
      </c>
      <c r="FM37" s="33" t="e">
        <f t="shared" si="22"/>
        <v>#N/A</v>
      </c>
    </row>
    <row r="38" spans="1:169" ht="30" customHeight="1">
      <c r="A38" s="52">
        <v>31</v>
      </c>
      <c r="B38" s="13"/>
      <c r="C38" s="13"/>
      <c r="D38" s="19"/>
      <c r="E38" s="13"/>
      <c r="F38" s="15"/>
      <c r="G38" s="10"/>
      <c r="H38" s="10"/>
      <c r="I38" s="14"/>
      <c r="J38" s="14"/>
      <c r="K38" s="280"/>
      <c r="L38" s="15"/>
      <c r="M38" s="15"/>
      <c r="N38" s="15"/>
      <c r="O38" s="13"/>
      <c r="P38" s="13"/>
      <c r="Q38" s="13"/>
      <c r="R38" s="13"/>
      <c r="S38" s="253" t="str">
        <f t="shared" si="3"/>
        <v/>
      </c>
      <c r="T38" s="175"/>
      <c r="U38" s="229"/>
      <c r="V38" s="230"/>
      <c r="BA38" s="33" t="str">
        <f t="shared" si="10"/>
        <v>Head Box Colour</v>
      </c>
      <c r="BM38" s="33" t="b">
        <f t="shared" si="4"/>
        <v>0</v>
      </c>
      <c r="BT38" s="33" t="str">
        <f t="shared" si="5"/>
        <v>Chain Colour</v>
      </c>
      <c r="BZ38" s="33" t="b">
        <f t="shared" si="11"/>
        <v>0</v>
      </c>
      <c r="DH38" s="239" t="str">
        <f t="shared" si="12"/>
        <v>Fabric Insert Option</v>
      </c>
      <c r="ET38" s="310" t="e">
        <f t="shared" si="16"/>
        <v>#N/A</v>
      </c>
      <c r="EU38" s="310" t="e">
        <f t="shared" si="17"/>
        <v>#N/A</v>
      </c>
      <c r="EV38" s="310" t="e">
        <f t="shared" si="18"/>
        <v>#N/A</v>
      </c>
      <c r="FC38" s="239" t="str">
        <f t="shared" si="19"/>
        <v>Vertical Extension Bracket Option NA</v>
      </c>
      <c r="FF38" s="313" t="str">
        <f t="shared" si="20"/>
        <v>Other Bottom Rail Colour</v>
      </c>
      <c r="FJ38" s="311" t="b">
        <f t="shared" si="9"/>
        <v>0</v>
      </c>
      <c r="FL38" s="33" t="e">
        <f t="shared" si="21"/>
        <v>#N/A</v>
      </c>
      <c r="FM38" s="33" t="e">
        <f t="shared" si="22"/>
        <v>#N/A</v>
      </c>
    </row>
    <row r="39" spans="1:169" ht="30" customHeight="1">
      <c r="A39" s="52">
        <v>32</v>
      </c>
      <c r="B39" s="13"/>
      <c r="C39" s="13"/>
      <c r="D39" s="19"/>
      <c r="E39" s="13"/>
      <c r="F39" s="15"/>
      <c r="G39" s="10"/>
      <c r="H39" s="10"/>
      <c r="I39" s="14"/>
      <c r="J39" s="14"/>
      <c r="K39" s="280"/>
      <c r="L39" s="15"/>
      <c r="M39" s="15"/>
      <c r="N39" s="15"/>
      <c r="O39" s="13"/>
      <c r="P39" s="13"/>
      <c r="Q39" s="13"/>
      <c r="R39" s="13"/>
      <c r="S39" s="253" t="str">
        <f t="shared" si="3"/>
        <v/>
      </c>
      <c r="T39" s="175"/>
      <c r="U39" s="229"/>
      <c r="V39" s="230"/>
      <c r="BA39" s="33" t="str">
        <f t="shared" si="10"/>
        <v>Head Box Colour</v>
      </c>
      <c r="BM39" s="33" t="b">
        <f t="shared" si="4"/>
        <v>0</v>
      </c>
      <c r="BT39" s="33" t="str">
        <f t="shared" si="5"/>
        <v>Chain Colour</v>
      </c>
      <c r="BZ39" s="33" t="b">
        <f t="shared" si="11"/>
        <v>0</v>
      </c>
      <c r="DH39" s="239" t="str">
        <f t="shared" si="12"/>
        <v>Fabric Insert Option</v>
      </c>
      <c r="ET39" s="310" t="e">
        <f t="shared" si="16"/>
        <v>#N/A</v>
      </c>
      <c r="EU39" s="310" t="e">
        <f t="shared" si="17"/>
        <v>#N/A</v>
      </c>
      <c r="EV39" s="310" t="e">
        <f t="shared" si="18"/>
        <v>#N/A</v>
      </c>
      <c r="FC39" s="239" t="str">
        <f t="shared" si="19"/>
        <v>Vertical Extension Bracket Option NA</v>
      </c>
      <c r="FF39" s="313" t="str">
        <f t="shared" si="20"/>
        <v>Other Bottom Rail Colour</v>
      </c>
      <c r="FJ39" s="311" t="b">
        <f t="shared" si="9"/>
        <v>0</v>
      </c>
      <c r="FL39" s="33" t="e">
        <f t="shared" si="21"/>
        <v>#N/A</v>
      </c>
      <c r="FM39" s="33" t="e">
        <f t="shared" si="22"/>
        <v>#N/A</v>
      </c>
    </row>
    <row r="40" spans="1:169" ht="30" customHeight="1">
      <c r="A40" s="52">
        <v>33</v>
      </c>
      <c r="B40" s="13"/>
      <c r="C40" s="13"/>
      <c r="D40" s="19"/>
      <c r="E40" s="13"/>
      <c r="F40" s="15"/>
      <c r="G40" s="10"/>
      <c r="H40" s="10"/>
      <c r="I40" s="14"/>
      <c r="J40" s="14"/>
      <c r="K40" s="280"/>
      <c r="L40" s="15"/>
      <c r="M40" s="15"/>
      <c r="N40" s="15"/>
      <c r="O40" s="13"/>
      <c r="P40" s="13"/>
      <c r="Q40" s="13"/>
      <c r="R40" s="13"/>
      <c r="S40" s="253" t="str">
        <f t="shared" ref="S40:S57" si="23">IF(SUM(C40)=0,"",SUM(((G40*H40)/1000000)))</f>
        <v/>
      </c>
      <c r="T40" s="175"/>
      <c r="U40" s="229"/>
      <c r="V40" s="230"/>
      <c r="BA40" s="33" t="str">
        <f t="shared" si="10"/>
        <v>Head Box Colour</v>
      </c>
      <c r="BM40" s="33" t="b">
        <f t="shared" si="4"/>
        <v>0</v>
      </c>
      <c r="BT40" s="33" t="str">
        <f t="shared" ref="BT40:BT57" si="24">IF(D40=$BE$14,$BR$7,$BO$7)</f>
        <v>Chain Colour</v>
      </c>
      <c r="BZ40" s="33" t="b">
        <f t="shared" si="11"/>
        <v>0</v>
      </c>
      <c r="DH40" s="239" t="str">
        <f t="shared" si="12"/>
        <v>Fabric Insert Option</v>
      </c>
      <c r="ET40" s="310" t="e">
        <f t="shared" si="16"/>
        <v>#N/A</v>
      </c>
      <c r="EU40" s="310" t="e">
        <f t="shared" si="17"/>
        <v>#N/A</v>
      </c>
      <c r="EV40" s="310" t="e">
        <f t="shared" si="18"/>
        <v>#N/A</v>
      </c>
      <c r="FC40" s="239" t="str">
        <f t="shared" si="19"/>
        <v>Vertical Extension Bracket Option NA</v>
      </c>
      <c r="FF40" s="313" t="str">
        <f t="shared" si="20"/>
        <v>Other Bottom Rail Colour</v>
      </c>
      <c r="FJ40" s="311" t="b">
        <f t="shared" ref="FJ40:FJ57" si="25">IF(D40=$BE$8,$FG$7,IF(D40=$BE$14,$FH$7,IF(D40=$BE$9,$FI$7)))</f>
        <v>0</v>
      </c>
      <c r="FL40" s="33" t="e">
        <f t="shared" si="21"/>
        <v>#N/A</v>
      </c>
      <c r="FM40" s="33" t="e">
        <f t="shared" si="22"/>
        <v>#N/A</v>
      </c>
    </row>
    <row r="41" spans="1:169" ht="30" customHeight="1">
      <c r="A41" s="52">
        <v>34</v>
      </c>
      <c r="B41" s="13"/>
      <c r="C41" s="13"/>
      <c r="D41" s="19"/>
      <c r="E41" s="13"/>
      <c r="F41" s="15"/>
      <c r="G41" s="10"/>
      <c r="H41" s="10"/>
      <c r="I41" s="14"/>
      <c r="J41" s="14"/>
      <c r="K41" s="280"/>
      <c r="L41" s="15"/>
      <c r="M41" s="15"/>
      <c r="N41" s="15"/>
      <c r="O41" s="13"/>
      <c r="P41" s="13"/>
      <c r="Q41" s="13"/>
      <c r="R41" s="13"/>
      <c r="S41" s="253" t="str">
        <f t="shared" si="23"/>
        <v/>
      </c>
      <c r="T41" s="175"/>
      <c r="U41" s="229"/>
      <c r="V41" s="230"/>
      <c r="BA41" s="33" t="str">
        <f t="shared" si="10"/>
        <v>Head Box Colour</v>
      </c>
      <c r="BM41" s="33" t="b">
        <f t="shared" si="4"/>
        <v>0</v>
      </c>
      <c r="BT41" s="33" t="str">
        <f t="shared" si="24"/>
        <v>Chain Colour</v>
      </c>
      <c r="BZ41" s="33" t="b">
        <f t="shared" si="11"/>
        <v>0</v>
      </c>
      <c r="DH41" s="239" t="str">
        <f t="shared" si="12"/>
        <v>Fabric Insert Option</v>
      </c>
      <c r="ET41" s="310" t="e">
        <f t="shared" si="16"/>
        <v>#N/A</v>
      </c>
      <c r="EU41" s="310" t="e">
        <f t="shared" si="17"/>
        <v>#N/A</v>
      </c>
      <c r="EV41" s="310" t="e">
        <f t="shared" si="18"/>
        <v>#N/A</v>
      </c>
      <c r="FC41" s="239" t="str">
        <f t="shared" si="19"/>
        <v>Vertical Extension Bracket Option NA</v>
      </c>
      <c r="FF41" s="313" t="str">
        <f t="shared" si="20"/>
        <v>Other Bottom Rail Colour</v>
      </c>
      <c r="FJ41" s="311" t="b">
        <f t="shared" si="25"/>
        <v>0</v>
      </c>
      <c r="FL41" s="33" t="e">
        <f t="shared" si="21"/>
        <v>#N/A</v>
      </c>
      <c r="FM41" s="33" t="e">
        <f t="shared" si="22"/>
        <v>#N/A</v>
      </c>
    </row>
    <row r="42" spans="1:169" ht="30" customHeight="1">
      <c r="A42" s="52">
        <v>35</v>
      </c>
      <c r="B42" s="13"/>
      <c r="C42" s="13"/>
      <c r="D42" s="19"/>
      <c r="E42" s="13"/>
      <c r="F42" s="15"/>
      <c r="G42" s="10"/>
      <c r="H42" s="10"/>
      <c r="I42" s="14"/>
      <c r="J42" s="14"/>
      <c r="K42" s="280"/>
      <c r="L42" s="15"/>
      <c r="M42" s="15"/>
      <c r="N42" s="15"/>
      <c r="O42" s="13"/>
      <c r="P42" s="13"/>
      <c r="Q42" s="13"/>
      <c r="R42" s="13"/>
      <c r="S42" s="253" t="str">
        <f t="shared" si="23"/>
        <v/>
      </c>
      <c r="T42" s="175"/>
      <c r="U42" s="229"/>
      <c r="V42" s="230"/>
      <c r="BA42" s="33" t="str">
        <f t="shared" si="10"/>
        <v>Head Box Colour</v>
      </c>
      <c r="BM42" s="33" t="b">
        <f t="shared" si="4"/>
        <v>0</v>
      </c>
      <c r="BT42" s="33" t="str">
        <f t="shared" si="24"/>
        <v>Chain Colour</v>
      </c>
      <c r="BZ42" s="33" t="b">
        <f t="shared" si="11"/>
        <v>0</v>
      </c>
      <c r="DH42" s="239" t="str">
        <f t="shared" si="12"/>
        <v>Fabric Insert Option</v>
      </c>
      <c r="ET42" s="310" t="e">
        <f t="shared" si="16"/>
        <v>#N/A</v>
      </c>
      <c r="EU42" s="310" t="e">
        <f t="shared" si="17"/>
        <v>#N/A</v>
      </c>
      <c r="EV42" s="310" t="e">
        <f t="shared" si="18"/>
        <v>#N/A</v>
      </c>
      <c r="FC42" s="239" t="str">
        <f t="shared" si="19"/>
        <v>Vertical Extension Bracket Option NA</v>
      </c>
      <c r="FF42" s="313" t="str">
        <f t="shared" si="20"/>
        <v>Other Bottom Rail Colour</v>
      </c>
      <c r="FJ42" s="311" t="b">
        <f t="shared" si="25"/>
        <v>0</v>
      </c>
      <c r="FL42" s="33" t="e">
        <f t="shared" si="21"/>
        <v>#N/A</v>
      </c>
      <c r="FM42" s="33" t="e">
        <f t="shared" si="22"/>
        <v>#N/A</v>
      </c>
    </row>
    <row r="43" spans="1:169" ht="30" customHeight="1">
      <c r="A43" s="52">
        <v>36</v>
      </c>
      <c r="B43" s="13"/>
      <c r="C43" s="13"/>
      <c r="D43" s="19"/>
      <c r="E43" s="13"/>
      <c r="F43" s="15"/>
      <c r="G43" s="10"/>
      <c r="H43" s="10"/>
      <c r="I43" s="14"/>
      <c r="J43" s="14"/>
      <c r="K43" s="280"/>
      <c r="L43" s="15"/>
      <c r="M43" s="15"/>
      <c r="N43" s="15"/>
      <c r="O43" s="13"/>
      <c r="P43" s="13"/>
      <c r="Q43" s="13"/>
      <c r="R43" s="13"/>
      <c r="S43" s="253" t="str">
        <f t="shared" si="23"/>
        <v/>
      </c>
      <c r="T43" s="175"/>
      <c r="U43" s="229"/>
      <c r="V43" s="230"/>
      <c r="BA43" s="33" t="str">
        <f t="shared" si="10"/>
        <v>Head Box Colour</v>
      </c>
      <c r="BM43" s="33" t="b">
        <f t="shared" si="4"/>
        <v>0</v>
      </c>
      <c r="BT43" s="33" t="str">
        <f t="shared" si="24"/>
        <v>Chain Colour</v>
      </c>
      <c r="BZ43" s="33" t="b">
        <f t="shared" si="11"/>
        <v>0</v>
      </c>
      <c r="DH43" s="239" t="str">
        <f t="shared" si="12"/>
        <v>Fabric Insert Option</v>
      </c>
      <c r="ET43" s="310" t="e">
        <f t="shared" si="16"/>
        <v>#N/A</v>
      </c>
      <c r="EU43" s="310" t="e">
        <f t="shared" si="17"/>
        <v>#N/A</v>
      </c>
      <c r="EV43" s="310" t="e">
        <f t="shared" si="18"/>
        <v>#N/A</v>
      </c>
      <c r="FC43" s="239" t="str">
        <f t="shared" si="19"/>
        <v>Vertical Extension Bracket Option NA</v>
      </c>
      <c r="FF43" s="313" t="str">
        <f t="shared" si="20"/>
        <v>Other Bottom Rail Colour</v>
      </c>
      <c r="FJ43" s="311" t="b">
        <f t="shared" si="25"/>
        <v>0</v>
      </c>
      <c r="FL43" s="33" t="e">
        <f t="shared" si="21"/>
        <v>#N/A</v>
      </c>
      <c r="FM43" s="33" t="e">
        <f t="shared" si="22"/>
        <v>#N/A</v>
      </c>
    </row>
    <row r="44" spans="1:169" ht="30" customHeight="1">
      <c r="A44" s="52">
        <v>37</v>
      </c>
      <c r="B44" s="13"/>
      <c r="C44" s="13"/>
      <c r="D44" s="19"/>
      <c r="E44" s="13"/>
      <c r="F44" s="15"/>
      <c r="G44" s="10"/>
      <c r="H44" s="10"/>
      <c r="I44" s="14"/>
      <c r="J44" s="14"/>
      <c r="K44" s="280"/>
      <c r="L44" s="15"/>
      <c r="M44" s="15"/>
      <c r="N44" s="15"/>
      <c r="O44" s="13"/>
      <c r="P44" s="13"/>
      <c r="Q44" s="13"/>
      <c r="R44" s="13"/>
      <c r="S44" s="253" t="str">
        <f t="shared" si="23"/>
        <v/>
      </c>
      <c r="T44" s="175"/>
      <c r="U44" s="229"/>
      <c r="V44" s="230"/>
      <c r="BA44" s="33" t="str">
        <f t="shared" si="10"/>
        <v>Head Box Colour</v>
      </c>
      <c r="BM44" s="33" t="b">
        <f t="shared" si="4"/>
        <v>0</v>
      </c>
      <c r="BT44" s="33" t="str">
        <f t="shared" si="24"/>
        <v>Chain Colour</v>
      </c>
      <c r="BZ44" s="33" t="b">
        <f t="shared" si="11"/>
        <v>0</v>
      </c>
      <c r="DH44" s="239" t="str">
        <f t="shared" si="12"/>
        <v>Fabric Insert Option</v>
      </c>
      <c r="ET44" s="310" t="e">
        <f t="shared" si="16"/>
        <v>#N/A</v>
      </c>
      <c r="EU44" s="310" t="e">
        <f t="shared" si="17"/>
        <v>#N/A</v>
      </c>
      <c r="EV44" s="310" t="e">
        <f t="shared" si="18"/>
        <v>#N/A</v>
      </c>
      <c r="FC44" s="239" t="str">
        <f t="shared" si="19"/>
        <v>Vertical Extension Bracket Option NA</v>
      </c>
      <c r="FF44" s="313" t="str">
        <f t="shared" si="20"/>
        <v>Other Bottom Rail Colour</v>
      </c>
      <c r="FJ44" s="311" t="b">
        <f t="shared" si="25"/>
        <v>0</v>
      </c>
      <c r="FL44" s="33" t="e">
        <f t="shared" si="21"/>
        <v>#N/A</v>
      </c>
      <c r="FM44" s="33" t="e">
        <f t="shared" si="22"/>
        <v>#N/A</v>
      </c>
    </row>
    <row r="45" spans="1:169" ht="30" customHeight="1">
      <c r="A45" s="52">
        <v>38</v>
      </c>
      <c r="B45" s="13"/>
      <c r="C45" s="13"/>
      <c r="D45" s="19"/>
      <c r="E45" s="13"/>
      <c r="F45" s="15"/>
      <c r="G45" s="10"/>
      <c r="H45" s="10"/>
      <c r="I45" s="14"/>
      <c r="J45" s="14"/>
      <c r="K45" s="280"/>
      <c r="L45" s="15"/>
      <c r="M45" s="15"/>
      <c r="N45" s="15"/>
      <c r="O45" s="13"/>
      <c r="P45" s="13"/>
      <c r="Q45" s="13"/>
      <c r="R45" s="13"/>
      <c r="S45" s="253" t="str">
        <f t="shared" si="23"/>
        <v/>
      </c>
      <c r="T45" s="175"/>
      <c r="U45" s="229"/>
      <c r="V45" s="230"/>
      <c r="BA45" s="33" t="str">
        <f t="shared" si="10"/>
        <v>Head Box Colour</v>
      </c>
      <c r="BM45" s="33" t="b">
        <f t="shared" si="4"/>
        <v>0</v>
      </c>
      <c r="BT45" s="33" t="str">
        <f t="shared" si="24"/>
        <v>Chain Colour</v>
      </c>
      <c r="BZ45" s="33" t="b">
        <f t="shared" si="11"/>
        <v>0</v>
      </c>
      <c r="DH45" s="239" t="str">
        <f t="shared" si="12"/>
        <v>Fabric Insert Option</v>
      </c>
      <c r="ET45" s="310" t="e">
        <f t="shared" si="16"/>
        <v>#N/A</v>
      </c>
      <c r="EU45" s="310" t="e">
        <f t="shared" si="17"/>
        <v>#N/A</v>
      </c>
      <c r="EV45" s="310" t="e">
        <f t="shared" si="18"/>
        <v>#N/A</v>
      </c>
      <c r="FC45" s="239" t="str">
        <f t="shared" si="19"/>
        <v>Vertical Extension Bracket Option NA</v>
      </c>
      <c r="FF45" s="313" t="str">
        <f t="shared" si="20"/>
        <v>Other Bottom Rail Colour</v>
      </c>
      <c r="FJ45" s="311" t="b">
        <f t="shared" si="25"/>
        <v>0</v>
      </c>
      <c r="FL45" s="33" t="e">
        <f t="shared" si="21"/>
        <v>#N/A</v>
      </c>
      <c r="FM45" s="33" t="e">
        <f t="shared" si="22"/>
        <v>#N/A</v>
      </c>
    </row>
    <row r="46" spans="1:169" ht="30" customHeight="1">
      <c r="A46" s="52">
        <v>39</v>
      </c>
      <c r="B46" s="13"/>
      <c r="C46" s="13"/>
      <c r="D46" s="19"/>
      <c r="E46" s="13"/>
      <c r="F46" s="15"/>
      <c r="G46" s="10"/>
      <c r="H46" s="10"/>
      <c r="I46" s="14"/>
      <c r="J46" s="14"/>
      <c r="K46" s="280"/>
      <c r="L46" s="15"/>
      <c r="M46" s="15"/>
      <c r="N46" s="15"/>
      <c r="O46" s="13"/>
      <c r="P46" s="13"/>
      <c r="Q46" s="13"/>
      <c r="R46" s="13"/>
      <c r="S46" s="253" t="str">
        <f t="shared" si="23"/>
        <v/>
      </c>
      <c r="T46" s="175"/>
      <c r="U46" s="229"/>
      <c r="V46" s="230"/>
      <c r="BA46" s="33" t="str">
        <f t="shared" si="10"/>
        <v>Head Box Colour</v>
      </c>
      <c r="BM46" s="33" t="b">
        <f t="shared" si="4"/>
        <v>0</v>
      </c>
      <c r="BT46" s="33" t="str">
        <f t="shared" si="24"/>
        <v>Chain Colour</v>
      </c>
      <c r="BZ46" s="33" t="b">
        <f t="shared" si="11"/>
        <v>0</v>
      </c>
      <c r="DH46" s="239" t="str">
        <f t="shared" si="12"/>
        <v>Fabric Insert Option</v>
      </c>
      <c r="ET46" s="310" t="e">
        <f t="shared" si="16"/>
        <v>#N/A</v>
      </c>
      <c r="EU46" s="310" t="e">
        <f t="shared" si="17"/>
        <v>#N/A</v>
      </c>
      <c r="EV46" s="310" t="e">
        <f t="shared" si="18"/>
        <v>#N/A</v>
      </c>
      <c r="FC46" s="239" t="str">
        <f t="shared" si="19"/>
        <v>Vertical Extension Bracket Option NA</v>
      </c>
      <c r="FF46" s="313" t="str">
        <f t="shared" si="20"/>
        <v>Other Bottom Rail Colour</v>
      </c>
      <c r="FJ46" s="311" t="b">
        <f t="shared" si="25"/>
        <v>0</v>
      </c>
      <c r="FL46" s="33" t="e">
        <f t="shared" si="21"/>
        <v>#N/A</v>
      </c>
      <c r="FM46" s="33" t="e">
        <f t="shared" si="22"/>
        <v>#N/A</v>
      </c>
    </row>
    <row r="47" spans="1:169" ht="30" customHeight="1">
      <c r="A47" s="52">
        <v>40</v>
      </c>
      <c r="B47" s="13"/>
      <c r="C47" s="13"/>
      <c r="D47" s="19"/>
      <c r="E47" s="13"/>
      <c r="F47" s="15"/>
      <c r="G47" s="10"/>
      <c r="H47" s="10"/>
      <c r="I47" s="14"/>
      <c r="J47" s="14"/>
      <c r="K47" s="280"/>
      <c r="L47" s="15"/>
      <c r="M47" s="15"/>
      <c r="N47" s="15"/>
      <c r="O47" s="13"/>
      <c r="P47" s="13"/>
      <c r="Q47" s="13"/>
      <c r="R47" s="13"/>
      <c r="S47" s="253" t="str">
        <f t="shared" si="23"/>
        <v/>
      </c>
      <c r="T47" s="175"/>
      <c r="U47" s="229"/>
      <c r="V47" s="230"/>
      <c r="BA47" s="33" t="str">
        <f t="shared" si="10"/>
        <v>Head Box Colour</v>
      </c>
      <c r="BM47" s="33" t="b">
        <f t="shared" si="4"/>
        <v>0</v>
      </c>
      <c r="BT47" s="33" t="str">
        <f t="shared" si="24"/>
        <v>Chain Colour</v>
      </c>
      <c r="BZ47" s="33" t="b">
        <f t="shared" si="11"/>
        <v>0</v>
      </c>
      <c r="DH47" s="239" t="str">
        <f t="shared" si="12"/>
        <v>Fabric Insert Option</v>
      </c>
      <c r="ET47" s="310" t="e">
        <f t="shared" si="16"/>
        <v>#N/A</v>
      </c>
      <c r="EU47" s="310" t="e">
        <f t="shared" si="17"/>
        <v>#N/A</v>
      </c>
      <c r="EV47" s="310" t="e">
        <f t="shared" si="18"/>
        <v>#N/A</v>
      </c>
      <c r="FC47" s="239" t="str">
        <f t="shared" si="19"/>
        <v>Vertical Extension Bracket Option NA</v>
      </c>
      <c r="FF47" s="313" t="str">
        <f t="shared" si="20"/>
        <v>Other Bottom Rail Colour</v>
      </c>
      <c r="FJ47" s="311" t="b">
        <f t="shared" si="25"/>
        <v>0</v>
      </c>
      <c r="FL47" s="33" t="e">
        <f t="shared" si="21"/>
        <v>#N/A</v>
      </c>
      <c r="FM47" s="33" t="e">
        <f t="shared" si="22"/>
        <v>#N/A</v>
      </c>
    </row>
    <row r="48" spans="1:169" ht="30" customHeight="1">
      <c r="A48" s="52">
        <v>41</v>
      </c>
      <c r="B48" s="13"/>
      <c r="C48" s="13"/>
      <c r="D48" s="19"/>
      <c r="E48" s="13"/>
      <c r="F48" s="15"/>
      <c r="G48" s="10"/>
      <c r="H48" s="10"/>
      <c r="I48" s="14"/>
      <c r="J48" s="14"/>
      <c r="K48" s="280"/>
      <c r="L48" s="15"/>
      <c r="M48" s="15"/>
      <c r="N48" s="15"/>
      <c r="O48" s="13"/>
      <c r="P48" s="13"/>
      <c r="Q48" s="13"/>
      <c r="R48" s="13"/>
      <c r="S48" s="253" t="str">
        <f t="shared" si="23"/>
        <v/>
      </c>
      <c r="T48" s="175"/>
      <c r="U48" s="229"/>
      <c r="V48" s="230"/>
      <c r="BA48" s="33" t="str">
        <f t="shared" si="10"/>
        <v>Head Box Colour</v>
      </c>
      <c r="BM48" s="33" t="b">
        <f t="shared" si="4"/>
        <v>0</v>
      </c>
      <c r="BT48" s="33" t="str">
        <f t="shared" si="24"/>
        <v>Chain Colour</v>
      </c>
      <c r="BZ48" s="33" t="b">
        <f t="shared" si="11"/>
        <v>0</v>
      </c>
      <c r="DH48" s="239" t="str">
        <f t="shared" si="12"/>
        <v>Fabric Insert Option</v>
      </c>
      <c r="ET48" s="310" t="e">
        <f t="shared" si="16"/>
        <v>#N/A</v>
      </c>
      <c r="EU48" s="310" t="e">
        <f t="shared" si="17"/>
        <v>#N/A</v>
      </c>
      <c r="EV48" s="310" t="e">
        <f t="shared" si="18"/>
        <v>#N/A</v>
      </c>
      <c r="FC48" s="239" t="str">
        <f t="shared" si="19"/>
        <v>Vertical Extension Bracket Option NA</v>
      </c>
      <c r="FF48" s="313" t="str">
        <f t="shared" si="20"/>
        <v>Other Bottom Rail Colour</v>
      </c>
      <c r="FJ48" s="311" t="b">
        <f t="shared" si="25"/>
        <v>0</v>
      </c>
      <c r="FL48" s="33" t="e">
        <f t="shared" si="21"/>
        <v>#N/A</v>
      </c>
      <c r="FM48" s="33" t="e">
        <f t="shared" si="22"/>
        <v>#N/A</v>
      </c>
    </row>
    <row r="49" spans="1:169" ht="30" customHeight="1">
      <c r="A49" s="52">
        <v>42</v>
      </c>
      <c r="B49" s="13"/>
      <c r="C49" s="13"/>
      <c r="D49" s="19"/>
      <c r="E49" s="13"/>
      <c r="F49" s="15"/>
      <c r="G49" s="10"/>
      <c r="H49" s="10"/>
      <c r="I49" s="14"/>
      <c r="J49" s="14"/>
      <c r="K49" s="280"/>
      <c r="L49" s="15"/>
      <c r="M49" s="15"/>
      <c r="N49" s="15"/>
      <c r="O49" s="13"/>
      <c r="P49" s="13"/>
      <c r="Q49" s="13"/>
      <c r="R49" s="13"/>
      <c r="S49" s="253" t="str">
        <f t="shared" si="23"/>
        <v/>
      </c>
      <c r="T49" s="175"/>
      <c r="U49" s="229"/>
      <c r="V49" s="230"/>
      <c r="BA49" s="33" t="str">
        <f t="shared" si="10"/>
        <v>Head Box Colour</v>
      </c>
      <c r="BM49" s="33" t="b">
        <f t="shared" si="4"/>
        <v>0</v>
      </c>
      <c r="BT49" s="33" t="str">
        <f t="shared" si="24"/>
        <v>Chain Colour</v>
      </c>
      <c r="BZ49" s="33" t="b">
        <f t="shared" si="11"/>
        <v>0</v>
      </c>
      <c r="DH49" s="239" t="str">
        <f t="shared" si="12"/>
        <v>Fabric Insert Option</v>
      </c>
      <c r="ET49" s="310" t="e">
        <f t="shared" si="16"/>
        <v>#N/A</v>
      </c>
      <c r="EU49" s="310" t="e">
        <f t="shared" si="17"/>
        <v>#N/A</v>
      </c>
      <c r="EV49" s="310" t="e">
        <f t="shared" si="18"/>
        <v>#N/A</v>
      </c>
      <c r="FC49" s="239" t="str">
        <f t="shared" si="19"/>
        <v>Vertical Extension Bracket Option NA</v>
      </c>
      <c r="FF49" s="313" t="str">
        <f t="shared" si="20"/>
        <v>Other Bottom Rail Colour</v>
      </c>
      <c r="FJ49" s="311" t="b">
        <f t="shared" si="25"/>
        <v>0</v>
      </c>
      <c r="FL49" s="33" t="e">
        <f t="shared" si="21"/>
        <v>#N/A</v>
      </c>
      <c r="FM49" s="33" t="e">
        <f t="shared" si="22"/>
        <v>#N/A</v>
      </c>
    </row>
    <row r="50" spans="1:169" ht="30" customHeight="1">
      <c r="A50" s="52">
        <v>43</v>
      </c>
      <c r="B50" s="13"/>
      <c r="C50" s="13"/>
      <c r="D50" s="19"/>
      <c r="E50" s="13"/>
      <c r="F50" s="15"/>
      <c r="G50" s="10"/>
      <c r="H50" s="10"/>
      <c r="I50" s="14"/>
      <c r="J50" s="14"/>
      <c r="K50" s="280"/>
      <c r="L50" s="15"/>
      <c r="M50" s="15"/>
      <c r="N50" s="15"/>
      <c r="O50" s="13"/>
      <c r="P50" s="13"/>
      <c r="Q50" s="13"/>
      <c r="R50" s="13"/>
      <c r="S50" s="253" t="str">
        <f t="shared" si="23"/>
        <v/>
      </c>
      <c r="T50" s="175"/>
      <c r="U50" s="229"/>
      <c r="V50" s="230"/>
      <c r="BA50" s="33" t="str">
        <f t="shared" si="10"/>
        <v>Head Box Colour</v>
      </c>
      <c r="BM50" s="33" t="b">
        <f t="shared" si="4"/>
        <v>0</v>
      </c>
      <c r="BT50" s="33" t="str">
        <f t="shared" si="24"/>
        <v>Chain Colour</v>
      </c>
      <c r="BZ50" s="33" t="b">
        <f t="shared" si="11"/>
        <v>0</v>
      </c>
      <c r="DH50" s="239" t="str">
        <f t="shared" si="12"/>
        <v>Fabric Insert Option</v>
      </c>
      <c r="ET50" s="310" t="e">
        <f t="shared" si="16"/>
        <v>#N/A</v>
      </c>
      <c r="EU50" s="310" t="e">
        <f t="shared" si="17"/>
        <v>#N/A</v>
      </c>
      <c r="EV50" s="310" t="e">
        <f t="shared" si="18"/>
        <v>#N/A</v>
      </c>
      <c r="FC50" s="239" t="str">
        <f t="shared" si="19"/>
        <v>Vertical Extension Bracket Option NA</v>
      </c>
      <c r="FF50" s="313" t="str">
        <f t="shared" si="20"/>
        <v>Other Bottom Rail Colour</v>
      </c>
      <c r="FJ50" s="311" t="b">
        <f t="shared" si="25"/>
        <v>0</v>
      </c>
      <c r="FL50" s="33" t="e">
        <f t="shared" si="21"/>
        <v>#N/A</v>
      </c>
      <c r="FM50" s="33" t="e">
        <f t="shared" si="22"/>
        <v>#N/A</v>
      </c>
    </row>
    <row r="51" spans="1:169" ht="30" customHeight="1">
      <c r="A51" s="52">
        <v>44</v>
      </c>
      <c r="B51" s="13"/>
      <c r="C51" s="13"/>
      <c r="D51" s="19"/>
      <c r="E51" s="13"/>
      <c r="F51" s="15"/>
      <c r="G51" s="10"/>
      <c r="H51" s="10"/>
      <c r="I51" s="14"/>
      <c r="J51" s="14"/>
      <c r="K51" s="280"/>
      <c r="L51" s="15"/>
      <c r="M51" s="15"/>
      <c r="N51" s="15"/>
      <c r="O51" s="13"/>
      <c r="P51" s="13"/>
      <c r="Q51" s="13"/>
      <c r="R51" s="13"/>
      <c r="S51" s="253" t="str">
        <f t="shared" si="23"/>
        <v/>
      </c>
      <c r="T51" s="175"/>
      <c r="U51" s="229"/>
      <c r="V51" s="230"/>
      <c r="BA51" s="33" t="str">
        <f t="shared" si="10"/>
        <v>Head Box Colour</v>
      </c>
      <c r="BM51" s="33" t="b">
        <f t="shared" si="4"/>
        <v>0</v>
      </c>
      <c r="BT51" s="33" t="str">
        <f t="shared" si="24"/>
        <v>Chain Colour</v>
      </c>
      <c r="BZ51" s="33" t="b">
        <f t="shared" si="11"/>
        <v>0</v>
      </c>
      <c r="DH51" s="239" t="str">
        <f t="shared" si="12"/>
        <v>Fabric Insert Option</v>
      </c>
      <c r="ET51" s="310" t="e">
        <f t="shared" si="16"/>
        <v>#N/A</v>
      </c>
      <c r="EU51" s="310" t="e">
        <f t="shared" si="17"/>
        <v>#N/A</v>
      </c>
      <c r="EV51" s="310" t="e">
        <f t="shared" si="18"/>
        <v>#N/A</v>
      </c>
      <c r="FC51" s="239" t="str">
        <f t="shared" si="19"/>
        <v>Vertical Extension Bracket Option NA</v>
      </c>
      <c r="FF51" s="313" t="str">
        <f t="shared" si="20"/>
        <v>Other Bottom Rail Colour</v>
      </c>
      <c r="FJ51" s="311" t="b">
        <f t="shared" si="25"/>
        <v>0</v>
      </c>
      <c r="FL51" s="33" t="e">
        <f t="shared" si="21"/>
        <v>#N/A</v>
      </c>
      <c r="FM51" s="33" t="e">
        <f t="shared" si="22"/>
        <v>#N/A</v>
      </c>
    </row>
    <row r="52" spans="1:169" ht="30" customHeight="1">
      <c r="A52" s="52">
        <v>45</v>
      </c>
      <c r="B52" s="13"/>
      <c r="C52" s="13"/>
      <c r="D52" s="19"/>
      <c r="E52" s="13"/>
      <c r="F52" s="15"/>
      <c r="G52" s="10"/>
      <c r="H52" s="10"/>
      <c r="I52" s="14"/>
      <c r="J52" s="14"/>
      <c r="K52" s="280"/>
      <c r="L52" s="15"/>
      <c r="M52" s="15"/>
      <c r="N52" s="15"/>
      <c r="O52" s="13"/>
      <c r="P52" s="13"/>
      <c r="Q52" s="13"/>
      <c r="R52" s="13"/>
      <c r="S52" s="253" t="str">
        <f t="shared" si="23"/>
        <v/>
      </c>
      <c r="T52" s="175"/>
      <c r="U52" s="229"/>
      <c r="V52" s="230"/>
      <c r="BA52" s="33" t="str">
        <f t="shared" si="10"/>
        <v>Head Box Colour</v>
      </c>
      <c r="BM52" s="33" t="b">
        <f t="shared" si="4"/>
        <v>0</v>
      </c>
      <c r="BT52" s="33" t="str">
        <f t="shared" si="24"/>
        <v>Chain Colour</v>
      </c>
      <c r="BZ52" s="33" t="b">
        <f t="shared" si="11"/>
        <v>0</v>
      </c>
      <c r="DH52" s="239" t="str">
        <f t="shared" si="12"/>
        <v>Fabric Insert Option</v>
      </c>
      <c r="ET52" s="310" t="e">
        <f t="shared" si="16"/>
        <v>#N/A</v>
      </c>
      <c r="EU52" s="310" t="e">
        <f t="shared" si="17"/>
        <v>#N/A</v>
      </c>
      <c r="EV52" s="310" t="e">
        <f t="shared" si="18"/>
        <v>#N/A</v>
      </c>
      <c r="FC52" s="239" t="str">
        <f t="shared" si="19"/>
        <v>Vertical Extension Bracket Option NA</v>
      </c>
      <c r="FF52" s="313" t="str">
        <f t="shared" si="20"/>
        <v>Other Bottom Rail Colour</v>
      </c>
      <c r="FJ52" s="311" t="b">
        <f t="shared" si="25"/>
        <v>0</v>
      </c>
      <c r="FL52" s="33" t="e">
        <f t="shared" si="21"/>
        <v>#N/A</v>
      </c>
      <c r="FM52" s="33" t="e">
        <f t="shared" si="22"/>
        <v>#N/A</v>
      </c>
    </row>
    <row r="53" spans="1:169" ht="30" customHeight="1">
      <c r="A53" s="52">
        <v>46</v>
      </c>
      <c r="B53" s="13"/>
      <c r="C53" s="13"/>
      <c r="D53" s="19"/>
      <c r="E53" s="13"/>
      <c r="F53" s="15"/>
      <c r="G53" s="10"/>
      <c r="H53" s="10"/>
      <c r="I53" s="14"/>
      <c r="J53" s="14"/>
      <c r="K53" s="280"/>
      <c r="L53" s="15"/>
      <c r="M53" s="15"/>
      <c r="N53" s="15"/>
      <c r="O53" s="13"/>
      <c r="P53" s="13"/>
      <c r="Q53" s="13"/>
      <c r="R53" s="13"/>
      <c r="S53" s="253" t="str">
        <f t="shared" si="23"/>
        <v/>
      </c>
      <c r="T53" s="175"/>
      <c r="U53" s="229"/>
      <c r="V53" s="230"/>
      <c r="BA53" s="33" t="str">
        <f t="shared" si="10"/>
        <v>Head Box Colour</v>
      </c>
      <c r="BM53" s="33" t="b">
        <f t="shared" si="4"/>
        <v>0</v>
      </c>
      <c r="BT53" s="33" t="str">
        <f t="shared" si="24"/>
        <v>Chain Colour</v>
      </c>
      <c r="BZ53" s="33" t="b">
        <f t="shared" si="11"/>
        <v>0</v>
      </c>
      <c r="DH53" s="239" t="str">
        <f t="shared" si="12"/>
        <v>Fabric Insert Option</v>
      </c>
      <c r="ET53" s="310" t="e">
        <f t="shared" si="16"/>
        <v>#N/A</v>
      </c>
      <c r="EU53" s="310" t="e">
        <f t="shared" si="17"/>
        <v>#N/A</v>
      </c>
      <c r="EV53" s="310" t="e">
        <f t="shared" si="18"/>
        <v>#N/A</v>
      </c>
      <c r="FC53" s="239" t="str">
        <f t="shared" si="19"/>
        <v>Vertical Extension Bracket Option NA</v>
      </c>
      <c r="FF53" s="313" t="str">
        <f t="shared" si="20"/>
        <v>Other Bottom Rail Colour</v>
      </c>
      <c r="FJ53" s="311" t="b">
        <f t="shared" si="25"/>
        <v>0</v>
      </c>
      <c r="FL53" s="33" t="e">
        <f t="shared" si="21"/>
        <v>#N/A</v>
      </c>
      <c r="FM53" s="33" t="e">
        <f t="shared" si="22"/>
        <v>#N/A</v>
      </c>
    </row>
    <row r="54" spans="1:169" ht="30" customHeight="1">
      <c r="A54" s="52">
        <v>47</v>
      </c>
      <c r="B54" s="13"/>
      <c r="C54" s="13"/>
      <c r="D54" s="19"/>
      <c r="E54" s="13"/>
      <c r="F54" s="15"/>
      <c r="G54" s="10"/>
      <c r="H54" s="10"/>
      <c r="I54" s="14"/>
      <c r="J54" s="14"/>
      <c r="K54" s="280"/>
      <c r="L54" s="15"/>
      <c r="M54" s="15"/>
      <c r="N54" s="15"/>
      <c r="O54" s="13"/>
      <c r="P54" s="13"/>
      <c r="Q54" s="13"/>
      <c r="R54" s="13"/>
      <c r="S54" s="253" t="str">
        <f t="shared" si="23"/>
        <v/>
      </c>
      <c r="T54" s="175"/>
      <c r="U54" s="229"/>
      <c r="V54" s="230"/>
      <c r="BA54" s="33" t="str">
        <f t="shared" si="10"/>
        <v>Head Box Colour</v>
      </c>
      <c r="BM54" s="33" t="b">
        <f t="shared" si="4"/>
        <v>0</v>
      </c>
      <c r="BT54" s="33" t="str">
        <f t="shared" si="24"/>
        <v>Chain Colour</v>
      </c>
      <c r="BZ54" s="33" t="b">
        <f t="shared" si="11"/>
        <v>0</v>
      </c>
      <c r="DH54" s="239" t="str">
        <f t="shared" si="12"/>
        <v>Fabric Insert Option</v>
      </c>
      <c r="ET54" s="310" t="e">
        <f t="shared" si="16"/>
        <v>#N/A</v>
      </c>
      <c r="EU54" s="310" t="e">
        <f t="shared" si="17"/>
        <v>#N/A</v>
      </c>
      <c r="EV54" s="310" t="e">
        <f t="shared" si="18"/>
        <v>#N/A</v>
      </c>
      <c r="FC54" s="239" t="str">
        <f t="shared" si="19"/>
        <v>Vertical Extension Bracket Option NA</v>
      </c>
      <c r="FF54" s="313" t="str">
        <f t="shared" si="20"/>
        <v>Other Bottom Rail Colour</v>
      </c>
      <c r="FJ54" s="311" t="b">
        <f t="shared" si="25"/>
        <v>0</v>
      </c>
      <c r="FL54" s="33" t="e">
        <f t="shared" si="21"/>
        <v>#N/A</v>
      </c>
      <c r="FM54" s="33" t="e">
        <f t="shared" si="22"/>
        <v>#N/A</v>
      </c>
    </row>
    <row r="55" spans="1:169" ht="30" customHeight="1">
      <c r="A55" s="52">
        <v>48</v>
      </c>
      <c r="B55" s="13"/>
      <c r="C55" s="13"/>
      <c r="D55" s="19"/>
      <c r="E55" s="13"/>
      <c r="F55" s="15"/>
      <c r="G55" s="10"/>
      <c r="H55" s="10"/>
      <c r="I55" s="14"/>
      <c r="J55" s="14"/>
      <c r="K55" s="280"/>
      <c r="L55" s="15"/>
      <c r="M55" s="15"/>
      <c r="N55" s="15"/>
      <c r="O55" s="13"/>
      <c r="P55" s="13"/>
      <c r="Q55" s="13"/>
      <c r="R55" s="13"/>
      <c r="S55" s="253" t="str">
        <f t="shared" si="23"/>
        <v/>
      </c>
      <c r="T55" s="175"/>
      <c r="U55" s="229"/>
      <c r="V55" s="230"/>
      <c r="BA55" s="33" t="str">
        <f t="shared" si="10"/>
        <v>Head Box Colour</v>
      </c>
      <c r="BM55" s="33" t="b">
        <f t="shared" si="4"/>
        <v>0</v>
      </c>
      <c r="BT55" s="33" t="str">
        <f t="shared" si="24"/>
        <v>Chain Colour</v>
      </c>
      <c r="BZ55" s="33" t="b">
        <f t="shared" si="11"/>
        <v>0</v>
      </c>
      <c r="DH55" s="239" t="str">
        <f t="shared" si="12"/>
        <v>Fabric Insert Option</v>
      </c>
      <c r="ET55" s="310" t="e">
        <f t="shared" si="16"/>
        <v>#N/A</v>
      </c>
      <c r="EU55" s="310" t="e">
        <f t="shared" si="17"/>
        <v>#N/A</v>
      </c>
      <c r="EV55" s="310" t="e">
        <f t="shared" si="18"/>
        <v>#N/A</v>
      </c>
      <c r="FC55" s="239" t="str">
        <f t="shared" si="19"/>
        <v>Vertical Extension Bracket Option NA</v>
      </c>
      <c r="FF55" s="313" t="str">
        <f t="shared" si="20"/>
        <v>Other Bottom Rail Colour</v>
      </c>
      <c r="FJ55" s="311" t="b">
        <f t="shared" si="25"/>
        <v>0</v>
      </c>
      <c r="FL55" s="33" t="e">
        <f t="shared" si="21"/>
        <v>#N/A</v>
      </c>
      <c r="FM55" s="33" t="e">
        <f t="shared" si="22"/>
        <v>#N/A</v>
      </c>
    </row>
    <row r="56" spans="1:169" ht="30" customHeight="1">
      <c r="A56" s="52">
        <v>49</v>
      </c>
      <c r="B56" s="13"/>
      <c r="C56" s="13"/>
      <c r="D56" s="19"/>
      <c r="E56" s="13"/>
      <c r="F56" s="15"/>
      <c r="G56" s="10"/>
      <c r="H56" s="10"/>
      <c r="I56" s="14"/>
      <c r="J56" s="14"/>
      <c r="K56" s="280"/>
      <c r="L56" s="15"/>
      <c r="M56" s="15"/>
      <c r="N56" s="15"/>
      <c r="O56" s="13"/>
      <c r="P56" s="13"/>
      <c r="Q56" s="13"/>
      <c r="R56" s="13"/>
      <c r="S56" s="253" t="str">
        <f t="shared" si="23"/>
        <v/>
      </c>
      <c r="T56" s="175"/>
      <c r="U56" s="229"/>
      <c r="V56" s="230"/>
      <c r="BA56" s="33" t="str">
        <f t="shared" si="10"/>
        <v>Head Box Colour</v>
      </c>
      <c r="BM56" s="33" t="b">
        <f t="shared" si="4"/>
        <v>0</v>
      </c>
      <c r="BT56" s="33" t="str">
        <f t="shared" si="24"/>
        <v>Chain Colour</v>
      </c>
      <c r="BZ56" s="33" t="b">
        <f t="shared" si="11"/>
        <v>0</v>
      </c>
      <c r="DH56" s="239" t="str">
        <f t="shared" si="12"/>
        <v>Fabric Insert Option</v>
      </c>
      <c r="ET56" s="310" t="e">
        <f t="shared" si="16"/>
        <v>#N/A</v>
      </c>
      <c r="EU56" s="310" t="e">
        <f t="shared" si="17"/>
        <v>#N/A</v>
      </c>
      <c r="EV56" s="310" t="e">
        <f t="shared" si="18"/>
        <v>#N/A</v>
      </c>
      <c r="FC56" s="239" t="str">
        <f t="shared" si="19"/>
        <v>Vertical Extension Bracket Option NA</v>
      </c>
      <c r="FF56" s="313" t="str">
        <f t="shared" si="20"/>
        <v>Other Bottom Rail Colour</v>
      </c>
      <c r="FJ56" s="311" t="b">
        <f t="shared" si="25"/>
        <v>0</v>
      </c>
      <c r="FL56" s="33" t="e">
        <f t="shared" si="21"/>
        <v>#N/A</v>
      </c>
      <c r="FM56" s="33" t="e">
        <f t="shared" si="22"/>
        <v>#N/A</v>
      </c>
    </row>
    <row r="57" spans="1:169" ht="30" customHeight="1" thickBot="1">
      <c r="A57" s="53">
        <v>50</v>
      </c>
      <c r="B57" s="21"/>
      <c r="C57" s="21"/>
      <c r="D57" s="45"/>
      <c r="E57" s="21"/>
      <c r="F57" s="44"/>
      <c r="G57" s="46"/>
      <c r="H57" s="46"/>
      <c r="I57" s="22"/>
      <c r="J57" s="46"/>
      <c r="K57" s="284"/>
      <c r="L57" s="44"/>
      <c r="M57" s="44"/>
      <c r="N57" s="44"/>
      <c r="O57" s="21"/>
      <c r="P57" s="21"/>
      <c r="Q57" s="21"/>
      <c r="R57" s="21"/>
      <c r="S57" s="254" t="str">
        <f t="shared" si="23"/>
        <v/>
      </c>
      <c r="T57" s="176"/>
      <c r="U57" s="229"/>
      <c r="V57" s="230"/>
      <c r="BA57" s="33" t="str">
        <f t="shared" si="10"/>
        <v>Head Box Colour</v>
      </c>
      <c r="BM57" s="33" t="b">
        <f t="shared" si="4"/>
        <v>0</v>
      </c>
      <c r="BT57" s="33" t="str">
        <f t="shared" si="24"/>
        <v>Chain Colour</v>
      </c>
      <c r="BZ57" s="33" t="b">
        <f t="shared" si="11"/>
        <v>0</v>
      </c>
      <c r="DH57" s="239" t="str">
        <f t="shared" si="12"/>
        <v>Fabric Insert Option</v>
      </c>
      <c r="ET57" s="310" t="e">
        <f t="shared" si="16"/>
        <v>#N/A</v>
      </c>
      <c r="EU57" s="310" t="e">
        <f t="shared" si="17"/>
        <v>#N/A</v>
      </c>
      <c r="EV57" s="310" t="e">
        <f t="shared" si="18"/>
        <v>#N/A</v>
      </c>
      <c r="FC57" s="239" t="str">
        <f t="shared" si="19"/>
        <v>Vertical Extension Bracket Option NA</v>
      </c>
      <c r="FF57" s="313" t="str">
        <f t="shared" si="20"/>
        <v>Other Bottom Rail Colour</v>
      </c>
      <c r="FJ57" s="311" t="b">
        <f t="shared" si="25"/>
        <v>0</v>
      </c>
      <c r="FL57" s="33" t="e">
        <f t="shared" si="21"/>
        <v>#N/A</v>
      </c>
      <c r="FM57" s="33" t="e">
        <f t="shared" si="22"/>
        <v>#N/A</v>
      </c>
    </row>
    <row r="58" spans="1:169" ht="15.75" thickTop="1">
      <c r="A58" s="77"/>
    </row>
  </sheetData>
  <sheetProtection algorithmName="SHA-512" hashValue="DKBpIJLdAI0LIdybmgAMRHneUBQq1829U85P9WwmEW3UA5GxCGgzLv6LYI2TBI87MQKqvpjmQJ/0vannmC86Wg==" saltValue="w6COMTI/1dJAaIILVlGs3w==" spinCount="100000" sheet="1" objects="1" scenarios="1"/>
  <sortState xmlns:xlrd2="http://schemas.microsoft.com/office/spreadsheetml/2017/richdata2" ref="EZ8:EZ13">
    <sortCondition ref="EZ7:EZ13"/>
  </sortState>
  <mergeCells count="19">
    <mergeCell ref="E2:E3"/>
    <mergeCell ref="A4:E4"/>
    <mergeCell ref="F4:I4"/>
    <mergeCell ref="F2:I2"/>
    <mergeCell ref="A1:D3"/>
    <mergeCell ref="K3:L3"/>
    <mergeCell ref="M3:T3"/>
    <mergeCell ref="K1:L1"/>
    <mergeCell ref="M1:T1"/>
    <mergeCell ref="F3:I3"/>
    <mergeCell ref="K2:L2"/>
    <mergeCell ref="M2:T2"/>
    <mergeCell ref="A6:I6"/>
    <mergeCell ref="K6:L6"/>
    <mergeCell ref="M6:T6"/>
    <mergeCell ref="K4:L4"/>
    <mergeCell ref="M4:T4"/>
    <mergeCell ref="K5:L5"/>
    <mergeCell ref="M5:T5"/>
  </mergeCells>
  <conditionalFormatting sqref="P8:P57">
    <cfRule type="containsText" dxfId="57" priority="3" stopIfTrue="1" operator="containsText" text="Stainless Steel">
      <formula>NOT(ISERROR(SEARCH("Stainless Steel",P8)))</formula>
    </cfRule>
  </conditionalFormatting>
  <conditionalFormatting sqref="C8:C57">
    <cfRule type="cellIs" dxfId="56" priority="2" stopIfTrue="1" operator="greaterThan">
      <formula>1</formula>
    </cfRule>
  </conditionalFormatting>
  <conditionalFormatting sqref="I8:I57">
    <cfRule type="containsText" dxfId="55" priority="1" operator="containsText" text="Side By Side">
      <formula>NOT(ISERROR(SEARCH("Side By Side",I8)))</formula>
    </cfRule>
  </conditionalFormatting>
  <dataValidations count="17">
    <dataValidation type="list" allowBlank="1" showInputMessage="1" showErrorMessage="1" errorTitle="Invalid Entry" error="Invalid Entry" sqref="R8:R57" xr:uid="{00000000-0002-0000-0800-000000000000}">
      <formula1>INDIRECT(SUBSTITUTE(FJ8," ","_"))</formula1>
    </dataValidation>
    <dataValidation type="list" allowBlank="1" showInputMessage="1" showErrorMessage="1" errorTitle="Invalid Entry" error="Invalid Entry" sqref="M8:M57" xr:uid="{00000000-0002-0000-0800-000001000000}">
      <formula1>INDIRECT(SUBSTITUTE(FF8," ","_"))</formula1>
    </dataValidation>
    <dataValidation type="list" allowBlank="1" showInputMessage="1" showErrorMessage="1" errorTitle="Invalid Entry" error="Invalid Entry" sqref="J8:J57" xr:uid="{00000000-0002-0000-0800-000002000000}">
      <formula1>"Face Fit, Recess Fit"</formula1>
    </dataValidation>
    <dataValidation type="list" allowBlank="1" showInputMessage="1" showErrorMessage="1" errorTitle="Invalid Entry" error="Invalid Entry" sqref="K8:K57" xr:uid="{00000000-0002-0000-0800-000003000000}">
      <formula1>"ACT, NAM"</formula1>
    </dataValidation>
    <dataValidation type="list" allowBlank="1" showInputMessage="1" showErrorMessage="1" errorTitle="Invalid Entry" error="Invalid Entry" sqref="I8:I57" xr:uid="{00000000-0002-0000-0800-000004000000}">
      <formula1>"Standard, Side By Side"</formula1>
    </dataValidation>
    <dataValidation type="list" allowBlank="1" showInputMessage="1" showErrorMessage="1" errorTitle="Invalid Entry" error="Invalid Entry" sqref="D8:D57" xr:uid="{00000000-0002-0000-0800-000005000000}">
      <formula1>Transition_Range_Blinds_Product_Type</formula1>
    </dataValidation>
    <dataValidation type="whole" errorStyle="warning" allowBlank="1" showInputMessage="1" showErrorMessage="1" errorTitle="Be Aware" error="Minimum Width is 150mm._x000a__x000a_Maximum Width is 2950mm." sqref="G8:G57" xr:uid="{00000000-0002-0000-0800-000006000000}">
      <formula1>150</formula1>
      <formula2>3000</formula2>
    </dataValidation>
    <dataValidation type="whole" errorStyle="warning" allowBlank="1" showInputMessage="1" showErrorMessage="1" errorTitle="Be Aware" error="Minimum Height/Drop is 300mm._x000a__x000a_For the Multi Shade, Roman Shade &amp; Triple Shade options the maximum Drop is 3000mm. _x000a_" sqref="H8:H57" xr:uid="{00000000-0002-0000-0800-000007000000}">
      <formula1>300</formula1>
      <formula2>3000</formula2>
    </dataValidation>
    <dataValidation type="list" allowBlank="1" showInputMessage="1" showErrorMessage="1" errorTitle="Invalid Entry" error="Invalid Entry" sqref="F8:F57" xr:uid="{00000000-0002-0000-0800-00000C000000}">
      <formula1>INDIRECT(SUBSTITUTE(SUBSTITUTE(SUBSTITUTE(EV8," ","_"),"(",""),")",""))</formula1>
    </dataValidation>
    <dataValidation errorStyle="information" allowBlank="1" sqref="S8:S57" xr:uid="{00000000-0002-0000-0800-00000D000000}"/>
    <dataValidation allowBlank="1" showInputMessage="1" errorTitle="Invalid Enrty" error="Please select from List!" sqref="T8:T57" xr:uid="{00000000-0002-0000-0800-00000E000000}"/>
    <dataValidation allowBlank="1" sqref="U1:V57" xr:uid="{00000000-0002-0000-0800-00000F000000}"/>
    <dataValidation type="list" allowBlank="1" showInputMessage="1" showErrorMessage="1" errorTitle="Invalid Entry" error="Invalid Entry" sqref="Q8:Q57" xr:uid="{00000000-0002-0000-0800-000010000000}">
      <formula1>INDIRECT(SUBSTITUTE(SUBSTITUTE(SUBSTITUTE(DH8," ","_"),"(",""),")",""))</formula1>
    </dataValidation>
    <dataValidation type="list" allowBlank="1" showInputMessage="1" showErrorMessage="1" errorTitle="Invalid Entry" error="Invalid Entry" sqref="E8:E57" xr:uid="{00000000-0002-0000-0800-000011000000}">
      <formula1>INDIRECT(SUBSTITUTE(SUBSTITUTE(SUBSTITUTE(BZ8," ","_"),"(",""),")",""))</formula1>
    </dataValidation>
    <dataValidation type="list" allowBlank="1" showInputMessage="1" showErrorMessage="1" sqref="N8:N57" xr:uid="{81A9F809-37D5-4A59-9620-2CED60CB6F2E}">
      <formula1>"Left, Right, Motorised Remote, Motorised No Remote"</formula1>
    </dataValidation>
    <dataValidation type="list" allowBlank="1" showInputMessage="1" showErrorMessage="1" errorTitle="Invalid Entry" error="Invalid Entry" sqref="O8:P57" xr:uid="{A6E92AC8-9732-45EB-8C43-2D4A2D573E8A}">
      <formula1>INDIRECT(SUBSTITUTE(FL8," ","_"))</formula1>
    </dataValidation>
    <dataValidation type="list" allowBlank="1" showInputMessage="1" showErrorMessage="1" errorTitle="Invalid Entry" error="Invalid Entry" sqref="L8:L57" xr:uid="{8C5BB42C-9193-43B5-8DA9-A88915646CEA}">
      <formula1>INDIRECT(SUBSTITUTE(SUBSTITUTE(SUBSTITUTE(BA8," ","_"),"(",""),")",""))</formula1>
    </dataValidation>
  </dataValidations>
  <printOptions horizontalCentered="1"/>
  <pageMargins left="0.23622047244094491" right="0.23622047244094491" top="0.23622047244094491" bottom="0.23622047244094491" header="0.19685039370078741" footer="0.19685039370078741"/>
  <pageSetup paperSize="9" scale="3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668</vt:i4>
      </vt:variant>
    </vt:vector>
  </HeadingPairs>
  <TitlesOfParts>
    <vt:vector size="681" baseType="lpstr">
      <vt:lpstr>Stores &amp; Delivery Addresses </vt:lpstr>
      <vt:lpstr>Summary</vt:lpstr>
      <vt:lpstr>25mm Aluminium Blinds</vt:lpstr>
      <vt:lpstr>Roller Blinds</vt:lpstr>
      <vt:lpstr>Vertical Blinds</vt:lpstr>
      <vt:lpstr>50mm &amp; 63mm Venetian Blinds</vt:lpstr>
      <vt:lpstr>Cellular Blinds</vt:lpstr>
      <vt:lpstr>Panel Glide Blinds</vt:lpstr>
      <vt:lpstr>Transition Blinds &amp; Roma Shades</vt:lpstr>
      <vt:lpstr>Shutters</vt:lpstr>
      <vt:lpstr>Data</vt:lpstr>
      <vt:lpstr>CMB Corner WS</vt:lpstr>
      <vt:lpstr>CMB Bay WS</vt:lpstr>
      <vt:lpstr>_25mm_Single_Cellular_Blind_Blockout_Standard</vt:lpstr>
      <vt:lpstr>_25mm_Single_Cellular_Blind_Translucent_Paisley</vt:lpstr>
      <vt:lpstr>_25mm_Single_Cellular_Blind_Translucent_Sheer</vt:lpstr>
      <vt:lpstr>_25mm_Single_Cellular_Blind_Translucent_Standard</vt:lpstr>
      <vt:lpstr>_25mm_Single_Cellular_Blind_Translucent_Thatched</vt:lpstr>
      <vt:lpstr>_25mm_Single_Cellular_Blind_Translucent_Woven</vt:lpstr>
      <vt:lpstr>_38mm_Double_Cellular_Blind_Blockout_Standard</vt:lpstr>
      <vt:lpstr>_38mm_Double_Cellular_Blind_Translucent_Standard</vt:lpstr>
      <vt:lpstr>_38mm_Single_Cell_Blockout_Bamboo_Print</vt:lpstr>
      <vt:lpstr>_38mm_Single_Cell_Translucent_Bamboo_Print</vt:lpstr>
      <vt:lpstr>_38mm_Single_Cell_Translucent_Crepe_Woven</vt:lpstr>
      <vt:lpstr>_38mm_Single_Cell_Translucent_Sheer_A</vt:lpstr>
      <vt:lpstr>_38mm_Single_Cell_Translucent_Slub_Woven</vt:lpstr>
      <vt:lpstr>_38mm_Single_Cellular_Blind_Blockout_Standard</vt:lpstr>
      <vt:lpstr>_38mm_Single_Cellular_Blind_Day_Night_Blockout_Colours</vt:lpstr>
      <vt:lpstr>_38mm_Single_Cellular_Blind_Translucent_Crush</vt:lpstr>
      <vt:lpstr>_38mm_Single_Cellular_Blind_Translucent_Linen</vt:lpstr>
      <vt:lpstr>_38mm_Single_Cellular_Blind_Translucent_Paisley</vt:lpstr>
      <vt:lpstr>_38mm_Single_Cellular_Blind_Translucent_Sheer</vt:lpstr>
      <vt:lpstr>_38mm_Single_Cellular_Blind_Translucent_Standard</vt:lpstr>
      <vt:lpstr>_38mm_Single_Cellular_Blind_Translucent_Thatched</vt:lpstr>
      <vt:lpstr>_38mm_Single_Cellular_Blind_Translucent_Woven</vt:lpstr>
      <vt:lpstr>_45mm_Cell_In_A_Cell_Cellular_Blind_Day_Night_Blockout_Colours</vt:lpstr>
      <vt:lpstr>_45mm_Single_Cell_Blockout_Lux_Linen</vt:lpstr>
      <vt:lpstr>_45mm_Single_Cell_Blockout_Marble</vt:lpstr>
      <vt:lpstr>_45mm_Single_Cell_Blockout_Sala</vt:lpstr>
      <vt:lpstr>_45mm_Single_Cell_Blockout_Standard</vt:lpstr>
      <vt:lpstr>_45mm_Single_Cell_Blockout_Woodgrain</vt:lpstr>
      <vt:lpstr>_45mm_Single_Cell_Blockout_Woodgrain_Linen</vt:lpstr>
      <vt:lpstr>_45mm_Single_Cell_Cell_In_A_Cell_Blockout</vt:lpstr>
      <vt:lpstr>_45mm_Single_Cell_Cell_In_A_Cell_Blockout_Bamboo</vt:lpstr>
      <vt:lpstr>_45mm_Single_Cell_Cell_In_A_Cell_Translucent_Bamboo</vt:lpstr>
      <vt:lpstr>_45mm_Single_Cell_Translucent_Cell_In_A_Cell</vt:lpstr>
      <vt:lpstr>_45mm_Single_Cell_Translucent_Crepe_Woven</vt:lpstr>
      <vt:lpstr>_45mm_Single_Cell_Translucent_Lux_Linen</vt:lpstr>
      <vt:lpstr>_45mm_Single_Cell_Translucent_Marble</vt:lpstr>
      <vt:lpstr>_45mm_Single_Cell_Translucent_Sala</vt:lpstr>
      <vt:lpstr>_45mm_Single_Cell_Translucent_Sheer</vt:lpstr>
      <vt:lpstr>_45mm_Single_Cell_Translucent_Standard</vt:lpstr>
      <vt:lpstr>_45mm_Single_Cell_Translucent_Woodgrain</vt:lpstr>
      <vt:lpstr>_45mm_Single_Cell_Translucent_Woodgrain_Linen</vt:lpstr>
      <vt:lpstr>_45mm_Single_Cellular_Blind_Day_Night_Blockout_Colours</vt:lpstr>
      <vt:lpstr>ACTNAM</vt:lpstr>
      <vt:lpstr>Additional_Fascia_100mm_x_9.5mm_Material</vt:lpstr>
      <vt:lpstr>Additional_Fascia_140mm_x_9.5mm_Material</vt:lpstr>
      <vt:lpstr>Additional_Fascia_60mm_x_9.5mm_Material</vt:lpstr>
      <vt:lpstr>Additional_Headboard_100mm_x_19mm_Material</vt:lpstr>
      <vt:lpstr>Additional_Headboard_140mm_x_19mm_Material</vt:lpstr>
      <vt:lpstr>Additional_Headboard_180mm_x_19mm_Material</vt:lpstr>
      <vt:lpstr>Additional_Headboard_220mm_x_19mm_Material</vt:lpstr>
      <vt:lpstr>AlumColours</vt:lpstr>
      <vt:lpstr>Amalfi</vt:lpstr>
      <vt:lpstr>AntiqueWhiteF140</vt:lpstr>
      <vt:lpstr>AntiqueWhiteW140</vt:lpstr>
      <vt:lpstr>B1_Colour</vt:lpstr>
      <vt:lpstr>B10_Colour</vt:lpstr>
      <vt:lpstr>B5_Colour</vt:lpstr>
      <vt:lpstr>Bi_Fold_Bottom_Fixed_Pivot_Bracket_Pin</vt:lpstr>
      <vt:lpstr>Bi_Fold_Frame_60mm_x_9.5mm_Material</vt:lpstr>
      <vt:lpstr>BK10_Colour</vt:lpstr>
      <vt:lpstr>BK20_Colour</vt:lpstr>
      <vt:lpstr>BK50_Colour</vt:lpstr>
      <vt:lpstr>BL1_Colour</vt:lpstr>
      <vt:lpstr>BL11_Colour</vt:lpstr>
      <vt:lpstr>BL2_Colour</vt:lpstr>
      <vt:lpstr>BL20_Colour</vt:lpstr>
      <vt:lpstr>BL2PRD_Colour</vt:lpstr>
      <vt:lpstr>BL30_Colour</vt:lpstr>
      <vt:lpstr>BL46_Colour</vt:lpstr>
      <vt:lpstr>BL48_Colour</vt:lpstr>
      <vt:lpstr>BL50_Colour</vt:lpstr>
      <vt:lpstr>BL52_Colour</vt:lpstr>
      <vt:lpstr>BL58_Colour</vt:lpstr>
      <vt:lpstr>BL9_Colour</vt:lpstr>
      <vt:lpstr>BlackWalnutW920</vt:lpstr>
      <vt:lpstr>BlindType</vt:lpstr>
      <vt:lpstr>Bottom_Pivot_Pin_For_Bi_Fold_Sliding_Panel</vt:lpstr>
      <vt:lpstr>Bottom_Rail_Colour</vt:lpstr>
      <vt:lpstr>BottomFrameBullnoseZFrame</vt:lpstr>
      <vt:lpstr>BottomFrameHangingStrip</vt:lpstr>
      <vt:lpstr>BottomFrameLargeBullnoseZFrame</vt:lpstr>
      <vt:lpstr>BottomFrameLargeFFLFrame</vt:lpstr>
      <vt:lpstr>BottomFrameLargeLFrame</vt:lpstr>
      <vt:lpstr>BottomFrameLargeZFrame</vt:lpstr>
      <vt:lpstr>BottomFrameMediumFFLFrame</vt:lpstr>
      <vt:lpstr>BottomFrameMediumLFrame</vt:lpstr>
      <vt:lpstr>BottomFrameNA</vt:lpstr>
      <vt:lpstr>BottomFrameNoFrame</vt:lpstr>
      <vt:lpstr>BottomFrameSliding</vt:lpstr>
      <vt:lpstr>BottomFrameSmallFFLFrame</vt:lpstr>
      <vt:lpstr>BottomFrameSmallLFrame</vt:lpstr>
      <vt:lpstr>BottomFrameStandardZFrame</vt:lpstr>
      <vt:lpstr>BottomFrameTrack</vt:lpstr>
      <vt:lpstr>BottomFrameTrackBiFold</vt:lpstr>
      <vt:lpstr>BottomFrameUChannel</vt:lpstr>
      <vt:lpstr>Bracket_Type</vt:lpstr>
      <vt:lpstr>Bullnose_Z_Frame_Material</vt:lpstr>
      <vt:lpstr>Bumper_Stop</vt:lpstr>
      <vt:lpstr>ButtThru</vt:lpstr>
      <vt:lpstr>Carrier_Bracket_For_Bi_Fold_Sliding_Panel</vt:lpstr>
      <vt:lpstr>CAT_GROUP_35_2234</vt:lpstr>
      <vt:lpstr>CAT_GROUP_35_2236</vt:lpstr>
      <vt:lpstr>CAT_GROUP_35_2237</vt:lpstr>
      <vt:lpstr>CAT_GROUP_35_2238</vt:lpstr>
      <vt:lpstr>CAT_GROUP_35_2295</vt:lpstr>
      <vt:lpstr>CAT_GROUP_35_2297</vt:lpstr>
      <vt:lpstr>CAT_GROUP_35_2317</vt:lpstr>
      <vt:lpstr>CAT_GROUP_36_2277</vt:lpstr>
      <vt:lpstr>CAT_GROUP_36_2278</vt:lpstr>
      <vt:lpstr>CAT_GROUP_36_2280</vt:lpstr>
      <vt:lpstr>CAT_GROUP_36_2281</vt:lpstr>
      <vt:lpstr>CAT_GROUP_36_2294</vt:lpstr>
      <vt:lpstr>CAT_GROUP_36_2299</vt:lpstr>
      <vt:lpstr>CAT_GROUP_36_2313</vt:lpstr>
      <vt:lpstr>CAT_GROUP_36_2315</vt:lpstr>
      <vt:lpstr>CAT_GROUP_37_2290</vt:lpstr>
      <vt:lpstr>CAT_GROUP_37_2291</vt:lpstr>
      <vt:lpstr>CAT_GROUP_37_2292</vt:lpstr>
      <vt:lpstr>CAT_GROUP_37_2293</vt:lpstr>
      <vt:lpstr>CAT_GROUP_37_2296</vt:lpstr>
      <vt:lpstr>CAT_GROUP_37_2298</vt:lpstr>
      <vt:lpstr>CAT_GROUP_37_2312</vt:lpstr>
      <vt:lpstr>CAT_GROUP_37_2316</vt:lpstr>
      <vt:lpstr>CAT_GROUP_38_2300</vt:lpstr>
      <vt:lpstr>CAT_GROUP_38_2301</vt:lpstr>
      <vt:lpstr>CAT_GROUP_38_2302</vt:lpstr>
      <vt:lpstr>CAT_GROUP_38_2303</vt:lpstr>
      <vt:lpstr>CAT_GROUP_38_2304</vt:lpstr>
      <vt:lpstr>CAT_GROUP_38_2305</vt:lpstr>
      <vt:lpstr>CAT_GROUP_38_2311</vt:lpstr>
      <vt:lpstr>CAT_GROUP_38_2314</vt:lpstr>
      <vt:lpstr>CAT_STYLE_35_1000</vt:lpstr>
      <vt:lpstr>CAT_STYLE_36_8000</vt:lpstr>
      <vt:lpstr>CAT_STYLE_37_8100</vt:lpstr>
      <vt:lpstr>CAT_STYLE_38_8000</vt:lpstr>
      <vt:lpstr>CategoryList</vt:lpstr>
      <vt:lpstr>CategoryList_LK</vt:lpstr>
      <vt:lpstr>CedarImageMediumW868</vt:lpstr>
      <vt:lpstr>Cellular_Colour_2_25mm_Single_Cellular_Blind</vt:lpstr>
      <vt:lpstr>Cellular_Colour_2_38mm_Double_Cellular_Blind</vt:lpstr>
      <vt:lpstr>Cellular_Colour_2_38mm_Single_Cellular_Blind</vt:lpstr>
      <vt:lpstr>Cellular_Colour_2_45mm_Cell_In_A_Cell_Cellular_Blind</vt:lpstr>
      <vt:lpstr>Cellular_Colour_2_45mm_Single_Cellular_Blind</vt:lpstr>
      <vt:lpstr>Cellular_Colour_2_NA</vt:lpstr>
      <vt:lpstr>CellularBlindProduct</vt:lpstr>
      <vt:lpstr>CellularControl</vt:lpstr>
      <vt:lpstr>CellularControlLength</vt:lpstr>
      <vt:lpstr>CellularMotorOptions</vt:lpstr>
      <vt:lpstr>CellularOperation</vt:lpstr>
      <vt:lpstr>Chain_Colour</vt:lpstr>
      <vt:lpstr>Chain_Cord_Length</vt:lpstr>
      <vt:lpstr>ChainMotor</vt:lpstr>
      <vt:lpstr>ChannelNo</vt:lpstr>
      <vt:lpstr>ChannelYes</vt:lpstr>
      <vt:lpstr>Clutch_Day_Night</vt:lpstr>
      <vt:lpstr>Clutch_Day_Night_25mm_Single</vt:lpstr>
      <vt:lpstr>Clutch_Day_Night_38mm_Double</vt:lpstr>
      <vt:lpstr>Clutch_Day_Night_38mm_Single</vt:lpstr>
      <vt:lpstr>Clutch_Day_Night_45mm_Single</vt:lpstr>
      <vt:lpstr>Clutch_Day_Night_45mm_Single_Cell_In_A_Cell</vt:lpstr>
      <vt:lpstr>Clutch_Day_Night_Control</vt:lpstr>
      <vt:lpstr>Clutch_Standard</vt:lpstr>
      <vt:lpstr>Clutch_Standard_25mm_Single</vt:lpstr>
      <vt:lpstr>Clutch_Standard_38mm_Double</vt:lpstr>
      <vt:lpstr>Clutch_Standard_38mm_Single</vt:lpstr>
      <vt:lpstr>Clutch_Standard_45mm_Single</vt:lpstr>
      <vt:lpstr>Clutch_Standard_45mm_Single_Cell_In_A_Cell</vt:lpstr>
      <vt:lpstr>Clutch_Standard_Control</vt:lpstr>
      <vt:lpstr>Clutch_Top_Down__Bottom_Up</vt:lpstr>
      <vt:lpstr>Clutch_Top_Down_Bottom_Up_25mm_Single</vt:lpstr>
      <vt:lpstr>Clutch_Top_Down_Bottom_Up_38mm_Double</vt:lpstr>
      <vt:lpstr>Clutch_Top_Down_Bottom_Up_38mm_Single</vt:lpstr>
      <vt:lpstr>Clutch_Top_Down_Bottom_Up_45mm_Single</vt:lpstr>
      <vt:lpstr>Clutch_Top_Down_Bottom_Up_45mm_Single_Cell_In_A_Cell</vt:lpstr>
      <vt:lpstr>Clutch_Top_Down_Bottom_Up_Control</vt:lpstr>
      <vt:lpstr>CMBEmail</vt:lpstr>
      <vt:lpstr>CMBPhone</vt:lpstr>
      <vt:lpstr>CMBPhone2</vt:lpstr>
      <vt:lpstr>CoffeeW890</vt:lpstr>
      <vt:lpstr>Colour2_25mm_Single_Cellular_Blind_Translucent_Paisley</vt:lpstr>
      <vt:lpstr>Colour2_25mm_Single_Cellular_Blind_Translucent_Sheer</vt:lpstr>
      <vt:lpstr>Colour2_25mm_Single_Cellular_Blind_Translucent_Standard</vt:lpstr>
      <vt:lpstr>Colour2_25mm_Single_Cellular_Blind_Translucent_Thatched</vt:lpstr>
      <vt:lpstr>Colour2_25mm_Single_Cellular_Blind_Translucent_Woven</vt:lpstr>
      <vt:lpstr>Colour2_38mm_Double_Cellular_Blind_Translucent_Standard</vt:lpstr>
      <vt:lpstr>Colour2_38mm_Single_Cellular_Blind_Translucent_Crush</vt:lpstr>
      <vt:lpstr>Colour2_38mm_Single_Cellular_Blind_Translucent_Linen</vt:lpstr>
      <vt:lpstr>Colour2_38mm_Single_Cellular_Blind_Translucent_Paisley</vt:lpstr>
      <vt:lpstr>Colour2_38mm_Single_Cellular_Blind_Translucent_Sheer</vt:lpstr>
      <vt:lpstr>Colour2_38mm_Single_Cellular_Blind_Translucent_Standard</vt:lpstr>
      <vt:lpstr>Colour2_38mm_Single_Cellular_Blind_Translucent_Thatched</vt:lpstr>
      <vt:lpstr>Colour2_38mm_Single_Cellular_Blind_Translucent_Woven</vt:lpstr>
      <vt:lpstr>ColourNA</vt:lpstr>
      <vt:lpstr>Como_Blockout</vt:lpstr>
      <vt:lpstr>Como_Translucent</vt:lpstr>
      <vt:lpstr>Control</vt:lpstr>
      <vt:lpstr>Control_Clutch_Day_Night</vt:lpstr>
      <vt:lpstr>Control_Clutch_Standard</vt:lpstr>
      <vt:lpstr>Control_Clutch_Top_Down__Bottom_Up</vt:lpstr>
      <vt:lpstr>Control_Corded_Day_Night</vt:lpstr>
      <vt:lpstr>Control_Corded_Standard</vt:lpstr>
      <vt:lpstr>Control_Corded_Top_Down__Bottom_Up</vt:lpstr>
      <vt:lpstr>Control_Cordless_Day_Night</vt:lpstr>
      <vt:lpstr>Control_Cordless_Standard</vt:lpstr>
      <vt:lpstr>Control_Cordless_Top_Down__Bottom_Up</vt:lpstr>
      <vt:lpstr>Control_Motorised</vt:lpstr>
      <vt:lpstr>Control_Motorised_DNTDBU</vt:lpstr>
      <vt:lpstr>Control_Motorised_Hardwired</vt:lpstr>
      <vt:lpstr>Control_Motorised_With_USB</vt:lpstr>
      <vt:lpstr>Control_Skylight_Cordless</vt:lpstr>
      <vt:lpstr>Control_Skylight_Motorised_Remote</vt:lpstr>
      <vt:lpstr>ControlOption</vt:lpstr>
      <vt:lpstr>Cord_Colour</vt:lpstr>
      <vt:lpstr>Corded_Day_Night</vt:lpstr>
      <vt:lpstr>Corded_Day_Night_25mm_Single</vt:lpstr>
      <vt:lpstr>Corded_Day_Night_38mm_Double</vt:lpstr>
      <vt:lpstr>Corded_Day_Night_38mm_Single</vt:lpstr>
      <vt:lpstr>Corded_Day_Night_45mm_Single</vt:lpstr>
      <vt:lpstr>Corded_Day_Night_45mm_Single_Cell_In_A_Cell</vt:lpstr>
      <vt:lpstr>Corded_Day_Night_Control</vt:lpstr>
      <vt:lpstr>Corded_Standard</vt:lpstr>
      <vt:lpstr>Corded_Standard_25mm_Single</vt:lpstr>
      <vt:lpstr>Corded_Standard_38mm_Double</vt:lpstr>
      <vt:lpstr>Corded_Standard_38mm_Single</vt:lpstr>
      <vt:lpstr>Corded_Standard_45mm_Single</vt:lpstr>
      <vt:lpstr>Corded_Standard_45mm_Single_Cell_In_A_Cell</vt:lpstr>
      <vt:lpstr>Corded_Standard_Control</vt:lpstr>
      <vt:lpstr>Corded_Top_Down__Bottom_Up</vt:lpstr>
      <vt:lpstr>Corded_Top_Down_Bottom_Up_25mm_Single</vt:lpstr>
      <vt:lpstr>Corded_Top_Down_Bottom_Up_38mm_Double</vt:lpstr>
      <vt:lpstr>Corded_Top_Down_Bottom_Up_38mm_Single</vt:lpstr>
      <vt:lpstr>Corded_Top_Down_Bottom_Up_45mm_Single</vt:lpstr>
      <vt:lpstr>Corded_Top_Down_Bottom_Up_45mm_Single_Cell_In_A_Cell</vt:lpstr>
      <vt:lpstr>Corded_Top_Down_Bottom_Up_Control</vt:lpstr>
      <vt:lpstr>Cordless_Day_Night</vt:lpstr>
      <vt:lpstr>Cordless_Day_Night_25mm_Single</vt:lpstr>
      <vt:lpstr>Cordless_Day_Night_38mm_Double</vt:lpstr>
      <vt:lpstr>Cordless_Day_Night_38mm_Single</vt:lpstr>
      <vt:lpstr>Cordless_Day_Night_45mm_Single</vt:lpstr>
      <vt:lpstr>Cordless_Day_Night_45mm_Single_Cell_In_A_Cell</vt:lpstr>
      <vt:lpstr>Cordless_Day_Night_Control</vt:lpstr>
      <vt:lpstr>Cordless_Standard</vt:lpstr>
      <vt:lpstr>Cordless_Standard_25mm_Single</vt:lpstr>
      <vt:lpstr>Cordless_Standard_38mm_Double</vt:lpstr>
      <vt:lpstr>Cordless_Standard_38mm_Single</vt:lpstr>
      <vt:lpstr>Cordless_Standard_45mm_Single</vt:lpstr>
      <vt:lpstr>Cordless_Standard_45mm_Single_Cell_In_A_Cell</vt:lpstr>
      <vt:lpstr>Cordless_Standard_Control</vt:lpstr>
      <vt:lpstr>Cordless_Top_Down__Bottom_Up</vt:lpstr>
      <vt:lpstr>Cordless_Top_Down_Bottom_Up_25mm_Single</vt:lpstr>
      <vt:lpstr>Cordless_Top_Down_Bottom_Up_38mm_Double</vt:lpstr>
      <vt:lpstr>Cordless_Top_Down_Bottom_Up_38mm_Single</vt:lpstr>
      <vt:lpstr>Cordless_Top_Down_Bottom_Up_45mm_Single</vt:lpstr>
      <vt:lpstr>Cordless_Top_Down_Bottom_Up_45mm_Single_Cell_In_A_Cell</vt:lpstr>
      <vt:lpstr>Cordless_Top_Down_Bottom_Up_Control</vt:lpstr>
      <vt:lpstr>Cordless_Wand_Operated</vt:lpstr>
      <vt:lpstr>Cordless_Wand_Operated_Control</vt:lpstr>
      <vt:lpstr>CordlockNoCordless</vt:lpstr>
      <vt:lpstr>CordlockYesCordless</vt:lpstr>
      <vt:lpstr>Cover_Strip_To_Fit_Face_Fit_Frame_12.5mm_x_5mm</vt:lpstr>
      <vt:lpstr>Cover_Strip_To_Fit_Face_Fit_Frame_17mm_x_5mm</vt:lpstr>
      <vt:lpstr>DarkCherryW894</vt:lpstr>
      <vt:lpstr>DarkChestnutPT067</vt:lpstr>
      <vt:lpstr>Delivery_Address</vt:lpstr>
      <vt:lpstr>Divider_Rail_Mid_Rail_Centre_Rail_79.5mm_x_21mm</vt:lpstr>
      <vt:lpstr>Divider_RailMid_Rail_Centre_Rail_79.5mm_x_21mm_Reinforced_Profile</vt:lpstr>
      <vt:lpstr>Double_Hinged_BFT</vt:lpstr>
      <vt:lpstr>Double_Hinged_Frame_Type</vt:lpstr>
      <vt:lpstr>Double_Hinged_TF</vt:lpstr>
      <vt:lpstr>Double38mmTube</vt:lpstr>
      <vt:lpstr>Double45mmTube</vt:lpstr>
      <vt:lpstr>DoubleHingedLayoutCodes</vt:lpstr>
      <vt:lpstr>DoubleLink38mmTube</vt:lpstr>
      <vt:lpstr>DoubleLink45mmTube</vt:lpstr>
      <vt:lpstr>DS1_Colour</vt:lpstr>
      <vt:lpstr>DS6_Colour</vt:lpstr>
      <vt:lpstr>E1_Colour</vt:lpstr>
      <vt:lpstr>EggshellW405</vt:lpstr>
      <vt:lpstr>Extras</vt:lpstr>
      <vt:lpstr>Fabric_127mm</vt:lpstr>
      <vt:lpstr>Fabric_89mm</vt:lpstr>
      <vt:lpstr>Fabric_Insert_NA</vt:lpstr>
      <vt:lpstr>Fabric_Insert_Option</vt:lpstr>
      <vt:lpstr>Fabric127mm</vt:lpstr>
      <vt:lpstr>Fabric89mm</vt:lpstr>
      <vt:lpstr>FabricSlatWidth</vt:lpstr>
      <vt:lpstr>FACE</vt:lpstr>
      <vt:lpstr>FaceRecess</vt:lpstr>
      <vt:lpstr>Fauxwood_Blade</vt:lpstr>
      <vt:lpstr>Fauxwood_Blockout_Blade</vt:lpstr>
      <vt:lpstr>Fauxwood_Eco</vt:lpstr>
      <vt:lpstr>Fauxwood_Eco_Air</vt:lpstr>
      <vt:lpstr>Fauxwood_Eco_Elite</vt:lpstr>
      <vt:lpstr>Fauxwood_Night</vt:lpstr>
      <vt:lpstr>FauxwoodAI</vt:lpstr>
      <vt:lpstr>FauxwoodAINo</vt:lpstr>
      <vt:lpstr>FauxwoodBlockoutN</vt:lpstr>
      <vt:lpstr>FauxwoodBlockoutT</vt:lpstr>
      <vt:lpstr>FauxwoodExtraOptionsStd</vt:lpstr>
      <vt:lpstr>FauxwoodExtrasOptions</vt:lpstr>
      <vt:lpstr>FauxwoodLiteTiltrod</vt:lpstr>
      <vt:lpstr>FauxwoodRP</vt:lpstr>
      <vt:lpstr>FauxwoodRPNo</vt:lpstr>
      <vt:lpstr>FauxwoodT</vt:lpstr>
      <vt:lpstr>FauxwoodY</vt:lpstr>
      <vt:lpstr>FBOAntiqueWhiteF140</vt:lpstr>
      <vt:lpstr>FBOOffWhiteF286</vt:lpstr>
      <vt:lpstr>FBOWhiteF186</vt:lpstr>
      <vt:lpstr>FittingBoth</vt:lpstr>
      <vt:lpstr>FittingRecess</vt:lpstr>
      <vt:lpstr>Fixed_BFT</vt:lpstr>
      <vt:lpstr>Fixed_Frame_Type</vt:lpstr>
      <vt:lpstr>Fixed_TF</vt:lpstr>
      <vt:lpstr>FixedLayoutCodes</vt:lpstr>
      <vt:lpstr>Flat_Hinge</vt:lpstr>
      <vt:lpstr>Floor_Guide</vt:lpstr>
      <vt:lpstr>Florence</vt:lpstr>
      <vt:lpstr>Fluffy_Strip_Fauxwood_Eco</vt:lpstr>
      <vt:lpstr>Fluffy_Strip_Fauxwood_Lite</vt:lpstr>
      <vt:lpstr>Fluffy_Strip_Fauxwood_Night</vt:lpstr>
      <vt:lpstr>Fluffy_Strip_Timber_Eco</vt:lpstr>
      <vt:lpstr>FR_S6_Colour</vt:lpstr>
      <vt:lpstr>FrameType</vt:lpstr>
      <vt:lpstr>GRS1_Colour</vt:lpstr>
      <vt:lpstr>Hanging_Strip_35mm_x_28.6mm_Material</vt:lpstr>
      <vt:lpstr>Hardware</vt:lpstr>
      <vt:lpstr>Head_Box_Colour</vt:lpstr>
      <vt:lpstr>HelperSpringControlNo</vt:lpstr>
      <vt:lpstr>HelperSpringControlYes</vt:lpstr>
      <vt:lpstr>Herman_Joints</vt:lpstr>
      <vt:lpstr>Hidden_Tiltrod_114mm</vt:lpstr>
      <vt:lpstr>Hidden_Tiltrod_63mm</vt:lpstr>
      <vt:lpstr>Hidden_Tiltrod_89mm</vt:lpstr>
      <vt:lpstr>Hinge</vt:lpstr>
      <vt:lpstr>Hinge_Packer</vt:lpstr>
      <vt:lpstr>Hinge_Pin</vt:lpstr>
      <vt:lpstr>Hinged_BFT</vt:lpstr>
      <vt:lpstr>Hinged_Frame_Type</vt:lpstr>
      <vt:lpstr>Hinged_TF</vt:lpstr>
      <vt:lpstr>HingedLayoutCodes</vt:lpstr>
      <vt:lpstr>HingeNA</vt:lpstr>
      <vt:lpstr>HoldDown</vt:lpstr>
      <vt:lpstr>Illusion_Alabaster_V484</vt:lpstr>
      <vt:lpstr>Jacquard_Crush_Jacquard_Weave_Bottom_Rail_Colour</vt:lpstr>
      <vt:lpstr>JasperW498</vt:lpstr>
      <vt:lpstr>L_Drop_Hinge</vt:lpstr>
      <vt:lpstr>Large_Bullnose_Z_Frame_Material</vt:lpstr>
      <vt:lpstr>Large_Face_Fit_L_Frame_Material</vt:lpstr>
      <vt:lpstr>Large_Tube</vt:lpstr>
      <vt:lpstr>Large_Z_Frame_Material</vt:lpstr>
      <vt:lpstr>LayoutCodes</vt:lpstr>
      <vt:lpstr>LHRHCorner</vt:lpstr>
      <vt:lpstr>Light_Stop_19mm_x_19mm_Material</vt:lpstr>
      <vt:lpstr>Light_Stop_19mm_x_30mm_Material</vt:lpstr>
      <vt:lpstr>Light_Stop_19mm_x_9.5mm_Material</vt:lpstr>
      <vt:lpstr>Light_Stop_20mm_x_5mm_Material</vt:lpstr>
      <vt:lpstr>Light_Stop_31.8mm_x_9.5mm_Material</vt:lpstr>
      <vt:lpstr>Light_Stop_40mm_x_30mm_Material</vt:lpstr>
      <vt:lpstr>Light_Stop_50mm_x_30mm_Material</vt:lpstr>
      <vt:lpstr>Link</vt:lpstr>
      <vt:lpstr>LiteAntiqueWhiteF140</vt:lpstr>
      <vt:lpstr>LiteOffWhiteF286</vt:lpstr>
      <vt:lpstr>LitePureWhiteF190</vt:lpstr>
      <vt:lpstr>LiteWhiteF186</vt:lpstr>
      <vt:lpstr>London</vt:lpstr>
      <vt:lpstr>LRF100mm</vt:lpstr>
      <vt:lpstr>LRF140mm</vt:lpstr>
      <vt:lpstr>LRF180mm</vt:lpstr>
      <vt:lpstr>LRF220mm</vt:lpstr>
      <vt:lpstr>LRFBullnoseZFrame</vt:lpstr>
      <vt:lpstr>LRFHangingStrip</vt:lpstr>
      <vt:lpstr>LRFLargeBullnoseZFrame</vt:lpstr>
      <vt:lpstr>LRFLargeFFLFrame</vt:lpstr>
      <vt:lpstr>LRFLargeLFrame</vt:lpstr>
      <vt:lpstr>LRFLargeZFrame</vt:lpstr>
      <vt:lpstr>LRFMediumFFLFrame</vt:lpstr>
      <vt:lpstr>LRFMediumLFrame</vt:lpstr>
      <vt:lpstr>LRFNA</vt:lpstr>
      <vt:lpstr>LRFNoFrame</vt:lpstr>
      <vt:lpstr>LRFSmallFFLFrame</vt:lpstr>
      <vt:lpstr>LRFSmallLFrame</vt:lpstr>
      <vt:lpstr>LRFStandardZFrame</vt:lpstr>
      <vt:lpstr>LRFUChannel</vt:lpstr>
      <vt:lpstr>LuminosityAndFabric</vt:lpstr>
      <vt:lpstr>LV1_Colour</vt:lpstr>
      <vt:lpstr>LV2_Colour</vt:lpstr>
      <vt:lpstr>Magnet_Catch</vt:lpstr>
      <vt:lpstr>MahoganyW306</vt:lpstr>
      <vt:lpstr>MapleW893</vt:lpstr>
      <vt:lpstr>Maui</vt:lpstr>
      <vt:lpstr>Medium_Face_Fit_L_Frame_Material</vt:lpstr>
      <vt:lpstr>Medium_L_Frame_Material</vt:lpstr>
      <vt:lpstr>Metal_Return_Clip_For_Fascia</vt:lpstr>
      <vt:lpstr>Milan</vt:lpstr>
      <vt:lpstr>MochaW811</vt:lpstr>
      <vt:lpstr>Monti_Colour</vt:lpstr>
      <vt:lpstr>Motor_Left</vt:lpstr>
      <vt:lpstr>Motor_Right</vt:lpstr>
      <vt:lpstr>Motor_Side_No</vt:lpstr>
      <vt:lpstr>Motor_Side_Yes</vt:lpstr>
      <vt:lpstr>Motorised_Battery</vt:lpstr>
      <vt:lpstr>Motorised_Battery_25mm_Single</vt:lpstr>
      <vt:lpstr>Motorised_Battery_38mm_Double</vt:lpstr>
      <vt:lpstr>Motorised_Battery_38mm_Single</vt:lpstr>
      <vt:lpstr>Motorised_Battery_45mm_Single</vt:lpstr>
      <vt:lpstr>Motorised_Battery_Control</vt:lpstr>
      <vt:lpstr>Motorised_Day_Night_25mm_Single</vt:lpstr>
      <vt:lpstr>Motorised_Day_Night_38mm_Double</vt:lpstr>
      <vt:lpstr>Motorised_Day_Night_38mm_Single</vt:lpstr>
      <vt:lpstr>Motorised_Day_Night_45mm_Single</vt:lpstr>
      <vt:lpstr>Motorised_Day_Night_45mm_Single_Cell_In_A_Cell</vt:lpstr>
      <vt:lpstr>Motorised_Hardwired</vt:lpstr>
      <vt:lpstr>Motorised_Hardwired_25mm_Single</vt:lpstr>
      <vt:lpstr>Motorised_Hardwired_38mm_Double</vt:lpstr>
      <vt:lpstr>Motorised_Hardwired_38mm_Single</vt:lpstr>
      <vt:lpstr>Motorised_Hardwired_45mm_Single</vt:lpstr>
      <vt:lpstr>Motorised_Hardwired_Control</vt:lpstr>
      <vt:lpstr>Motorised_Standard_25mm_Single</vt:lpstr>
      <vt:lpstr>Motorised_Standard_38mm_Double</vt:lpstr>
      <vt:lpstr>Motorised_Standard_38mm_Single</vt:lpstr>
      <vt:lpstr>Motorised_Standard_45mm_Single</vt:lpstr>
      <vt:lpstr>Motorised_Standard_45mm_Single_Cell_In_A_Cell</vt:lpstr>
      <vt:lpstr>Motorised_Top_Down_Bottom_Up_25mm_Single</vt:lpstr>
      <vt:lpstr>Motorised_Top_Down_Bottom_Up_38mm_Double</vt:lpstr>
      <vt:lpstr>Motorised_Top_Down_Bottom_Up_38mm_Single</vt:lpstr>
      <vt:lpstr>Motorised_Top_Down_Bottom_Up_45mm_Single</vt:lpstr>
      <vt:lpstr>Motorised_Top_Down_Bottom_Up_45mm_Single_Cell_In_A_Cell</vt:lpstr>
      <vt:lpstr>Mounting_Block_18mm_x_18mm_Material</vt:lpstr>
      <vt:lpstr>Mounting_Block_30mm_x_30mm_Material</vt:lpstr>
      <vt:lpstr>MountingMethod</vt:lpstr>
      <vt:lpstr>MountingMethodIN</vt:lpstr>
      <vt:lpstr>MountingMethodMS</vt:lpstr>
      <vt:lpstr>MountingMethodOUT</vt:lpstr>
      <vt:lpstr>MSNALayoutCodes</vt:lpstr>
      <vt:lpstr>Multi_Shade</vt:lpstr>
      <vt:lpstr>Multi_Shade_Finish</vt:lpstr>
      <vt:lpstr>NA_BFT</vt:lpstr>
      <vt:lpstr>NA_TF</vt:lpstr>
      <vt:lpstr>NAFrameType</vt:lpstr>
      <vt:lpstr>Naples</vt:lpstr>
      <vt:lpstr>No</vt:lpstr>
      <vt:lpstr>OffWhiteF286</vt:lpstr>
      <vt:lpstr>OPTIONGROUP35</vt:lpstr>
      <vt:lpstr>OPTIONGROUP35_LK</vt:lpstr>
      <vt:lpstr>OPTIONGROUP36</vt:lpstr>
      <vt:lpstr>OPTIONGROUP36_LK</vt:lpstr>
      <vt:lpstr>OPTIONGROUP37</vt:lpstr>
      <vt:lpstr>OPTIONGROUP37_LK</vt:lpstr>
      <vt:lpstr>OPTIONGROUP38</vt:lpstr>
      <vt:lpstr>OPTIONGROUP38_LK</vt:lpstr>
      <vt:lpstr>ORDERVAR35</vt:lpstr>
      <vt:lpstr>ORDERVAR36</vt:lpstr>
      <vt:lpstr>ORDERVAR37</vt:lpstr>
      <vt:lpstr>ORDERVAR38</vt:lpstr>
      <vt:lpstr>Other_Bottom_Rail_Colour</vt:lpstr>
      <vt:lpstr>OtherControl</vt:lpstr>
      <vt:lpstr>Oval_Bottom_Rail</vt:lpstr>
      <vt:lpstr>Oval_Bottom_Rail_2</vt:lpstr>
      <vt:lpstr>Over_Roll_Or_Standard_Multi_Shade</vt:lpstr>
      <vt:lpstr>Over_Roll_Or_Standard_Roman_Shade</vt:lpstr>
      <vt:lpstr>Over_Roll_Or_Standard_Triple_Shade</vt:lpstr>
      <vt:lpstr>Pacific_Sales_Coordinator</vt:lpstr>
      <vt:lpstr>Panel_Glide_Blind_Product</vt:lpstr>
      <vt:lpstr>Panel_Glide_Bottom_Rail_Colour</vt:lpstr>
      <vt:lpstr>Panel_Glide_Sewn_In_Pocket</vt:lpstr>
      <vt:lpstr>Panel_Quantity</vt:lpstr>
      <vt:lpstr>Panel_Quantity_2</vt:lpstr>
      <vt:lpstr>Panel_Quantity_3</vt:lpstr>
      <vt:lpstr>Panel_Quantity_4</vt:lpstr>
      <vt:lpstr>Panel_Quantity_5</vt:lpstr>
      <vt:lpstr>Panel_Quantity_6</vt:lpstr>
      <vt:lpstr>Panel_Quantity_7</vt:lpstr>
      <vt:lpstr>Panel_Quantity_9</vt:lpstr>
      <vt:lpstr>Paris</vt:lpstr>
      <vt:lpstr>Paris_Coconut</vt:lpstr>
      <vt:lpstr>Pivot_Hinged_BFT</vt:lpstr>
      <vt:lpstr>Pivot_Hinged_Frame_Type</vt:lpstr>
      <vt:lpstr>Pivot_Hinged_TF</vt:lpstr>
      <vt:lpstr>Pivot_Hinges_Left_Right_Sides</vt:lpstr>
      <vt:lpstr>PivotHingeColour</vt:lpstr>
      <vt:lpstr>PivotHingedLayoutCodes</vt:lpstr>
      <vt:lpstr>PivotHingedTopBottomFrame</vt:lpstr>
      <vt:lpstr>Pompeii</vt:lpstr>
      <vt:lpstr>Prati_Colour</vt:lpstr>
      <vt:lpstr>'25mm Aluminium Blinds'!Print_Area</vt:lpstr>
      <vt:lpstr>'50mm &amp; 63mm Venetian Blinds'!Print_Area</vt:lpstr>
      <vt:lpstr>'Cellular Blinds'!Print_Area</vt:lpstr>
      <vt:lpstr>'CMB Bay WS'!Print_Area</vt:lpstr>
      <vt:lpstr>'CMB Corner WS'!Print_Area</vt:lpstr>
      <vt:lpstr>'Panel Glide Blinds'!Print_Area</vt:lpstr>
      <vt:lpstr>'Roller Blinds'!Print_Area</vt:lpstr>
      <vt:lpstr>Shutters!Print_Area</vt:lpstr>
      <vt:lpstr>'Transition Blinds &amp; Roma Shades'!Print_Area</vt:lpstr>
      <vt:lpstr>'Vertical Blinds'!Print_Area</vt:lpstr>
      <vt:lpstr>PS50mm</vt:lpstr>
      <vt:lpstr>PS63mm</vt:lpstr>
      <vt:lpstr>PSColours50mm</vt:lpstr>
      <vt:lpstr>PSColours63mm</vt:lpstr>
      <vt:lpstr>PureWhiteF190</vt:lpstr>
      <vt:lpstr>PureWhiteW190</vt:lpstr>
      <vt:lpstr>PVC_89mm</vt:lpstr>
      <vt:lpstr>PVC89mm</vt:lpstr>
      <vt:lpstr>RECESS</vt:lpstr>
      <vt:lpstr>Roller_Blind_Product</vt:lpstr>
      <vt:lpstr>Roller_Pelmet_Colour</vt:lpstr>
      <vt:lpstr>RollerBlindsFabricAndColour</vt:lpstr>
      <vt:lpstr>RollerBracketType2</vt:lpstr>
      <vt:lpstr>RollerBracketTypeParis</vt:lpstr>
      <vt:lpstr>RollerChain_Left</vt:lpstr>
      <vt:lpstr>RollerChain_Motor_Left_Hand_5_Channel_Hand_Held</vt:lpstr>
      <vt:lpstr>RollerChain_Motor_Left_Hand_5_Channel_Wall_Mounted</vt:lpstr>
      <vt:lpstr>RollerChain_Motor_Left_Hand_Single_Channel_Hand_Held</vt:lpstr>
      <vt:lpstr>RollerChain_Motor_Left_Hand_Single_Channel_Wall_Mounted</vt:lpstr>
      <vt:lpstr>RollerChain_Motor_Left_Home_Automation</vt:lpstr>
      <vt:lpstr>RollerChain_Motor_Right_Hand_5_Channel_Hand_Held</vt:lpstr>
      <vt:lpstr>RollerChain_Motor_Right_Hand_5_Channel_Wall_Mounted</vt:lpstr>
      <vt:lpstr>RollerChain_Motor_Right_Hand_Single_Channel_Hand_Held</vt:lpstr>
      <vt:lpstr>RollerChain_Motor_Right_Hand_Single_Channel_Wall_Mounted</vt:lpstr>
      <vt:lpstr>RollerChain_Motor_Right_Home_Automation</vt:lpstr>
      <vt:lpstr>RollerChain_Right</vt:lpstr>
      <vt:lpstr>RollerChainColour_Left</vt:lpstr>
      <vt:lpstr>RollerChainColour_Left_Home_Automation</vt:lpstr>
      <vt:lpstr>RollerChainColour_Motor_Left_Hand_5_Channel_Hand_Held</vt:lpstr>
      <vt:lpstr>RollerChainColour_Motor_Left_Hand_5_Channel_Wall_Mounted</vt:lpstr>
      <vt:lpstr>RollerChainColour_Motor_Left_Hand_Single_Channel_Hand_Held</vt:lpstr>
      <vt:lpstr>RollerChainColour_Motor_Left_Hand_Single_Channel_Wall_Mounted</vt:lpstr>
      <vt:lpstr>RollerChainColour_Motor_Right_Hand_5_Channel_Hand_Held</vt:lpstr>
      <vt:lpstr>RollerChainColour_Motor_Right_Hand_5_Channel_Wall_Mounted</vt:lpstr>
      <vt:lpstr>RollerChainColour_Motor_Right_Hand_Single_Channel_Hand_Held</vt:lpstr>
      <vt:lpstr>RollerChainColour_Motor_Right_Hand_Single_Channel_Wall_Mounted</vt:lpstr>
      <vt:lpstr>RollerChainColour_Right</vt:lpstr>
      <vt:lpstr>RollerChainColour_Right_Home_Automation</vt:lpstr>
      <vt:lpstr>RollerControl</vt:lpstr>
      <vt:lpstr>RollerPelmetColourCommon</vt:lpstr>
      <vt:lpstr>RollerPelmetColourNo</vt:lpstr>
      <vt:lpstr>RollerPelmetColourStandard</vt:lpstr>
      <vt:lpstr>RollerPelmetInsertCommon</vt:lpstr>
      <vt:lpstr>RollerPelmetInsertNo</vt:lpstr>
      <vt:lpstr>RollerPelmetInsertStandard</vt:lpstr>
      <vt:lpstr>RollerUniversalPelmet</vt:lpstr>
      <vt:lpstr>Roma_Shade_Finish</vt:lpstr>
      <vt:lpstr>Roma_Shade_Headbox</vt:lpstr>
      <vt:lpstr>Roman_Shade</vt:lpstr>
      <vt:lpstr>Roman_Shade_Finish</vt:lpstr>
      <vt:lpstr>Rome_Blockout</vt:lpstr>
      <vt:lpstr>Rome_Translucent</vt:lpstr>
      <vt:lpstr>S6_Colour</vt:lpstr>
      <vt:lpstr>S9_Colour</vt:lpstr>
      <vt:lpstr>Screw</vt:lpstr>
      <vt:lpstr>Sewn_In_Pocket</vt:lpstr>
      <vt:lpstr>SH2_Colour</vt:lpstr>
      <vt:lpstr>ShutterAluminiumInsert</vt:lpstr>
      <vt:lpstr>ShutterEmail</vt:lpstr>
      <vt:lpstr>ShutterMaterial</vt:lpstr>
      <vt:lpstr>ShutterPhone</vt:lpstr>
      <vt:lpstr>Side_Winder_Bracket_Colour</vt:lpstr>
      <vt:lpstr>Skylight_Cordless_Control</vt:lpstr>
      <vt:lpstr>Skylight_Motorised_Remote_Control</vt:lpstr>
      <vt:lpstr>Skylight_Product</vt:lpstr>
      <vt:lpstr>Slider_L_Bracket</vt:lpstr>
      <vt:lpstr>Sliding_BFT</vt:lpstr>
      <vt:lpstr>Sliding_Frame_108mm_x_35mm_Bi_Pass_Frame_Material</vt:lpstr>
      <vt:lpstr>Sliding_Frame_Type</vt:lpstr>
      <vt:lpstr>Sliding_TF</vt:lpstr>
      <vt:lpstr>SlidingLayoutCodes</vt:lpstr>
      <vt:lpstr>Small_Face_Fit_L_Frame_Material</vt:lpstr>
      <vt:lpstr>Small_L_Frame_Material</vt:lpstr>
      <vt:lpstr>Small_Tube</vt:lpstr>
      <vt:lpstr>SOCDoubleHinged</vt:lpstr>
      <vt:lpstr>SOCFixed</vt:lpstr>
      <vt:lpstr>SOCHinged</vt:lpstr>
      <vt:lpstr>SOCNA</vt:lpstr>
      <vt:lpstr>SOCPivotHinged</vt:lpstr>
      <vt:lpstr>SOCSliding</vt:lpstr>
      <vt:lpstr>SOCTrackBiFold</vt:lpstr>
      <vt:lpstr>SP1_Colour</vt:lpstr>
      <vt:lpstr>SP10_Colour</vt:lpstr>
      <vt:lpstr>Special_Comments_1</vt:lpstr>
      <vt:lpstr>Special_Comments_2</vt:lpstr>
      <vt:lpstr>Special_Comments_3</vt:lpstr>
      <vt:lpstr>Special_Window</vt:lpstr>
      <vt:lpstr>Spring_Pin</vt:lpstr>
      <vt:lpstr>Stack</vt:lpstr>
      <vt:lpstr>Standard</vt:lpstr>
      <vt:lpstr>Standard_Hinge</vt:lpstr>
      <vt:lpstr>Standard_Hinge_Large_90mm</vt:lpstr>
      <vt:lpstr>Stepped_Rabbet_Hinge</vt:lpstr>
      <vt:lpstr>Store_Name</vt:lpstr>
      <vt:lpstr>STYLE35</vt:lpstr>
      <vt:lpstr>STYLE35_LK</vt:lpstr>
      <vt:lpstr>STYLE36</vt:lpstr>
      <vt:lpstr>STYLE36_LK</vt:lpstr>
      <vt:lpstr>STYLE37</vt:lpstr>
      <vt:lpstr>STYLE37_LK</vt:lpstr>
      <vt:lpstr>STYLE38</vt:lpstr>
      <vt:lpstr>STYLE38_LK</vt:lpstr>
      <vt:lpstr>Sunscreen</vt:lpstr>
      <vt:lpstr>T_Post_Material</vt:lpstr>
      <vt:lpstr>Termini_Colour</vt:lpstr>
      <vt:lpstr>TiltCordless</vt:lpstr>
      <vt:lpstr>Tiltrod</vt:lpstr>
      <vt:lpstr>Timber_Blade</vt:lpstr>
      <vt:lpstr>Timber_Double_Hinged_Frame_Type</vt:lpstr>
      <vt:lpstr>Timber_Eco</vt:lpstr>
      <vt:lpstr>Timber_Hinged_Frame_Type</vt:lpstr>
      <vt:lpstr>TimberColours50mm</vt:lpstr>
      <vt:lpstr>TimberExtraOptionsStd</vt:lpstr>
      <vt:lpstr>TimberExtrasOptions</vt:lpstr>
      <vt:lpstr>TimberExtrasOptionsPainted</vt:lpstr>
      <vt:lpstr>TimberN</vt:lpstr>
      <vt:lpstr>TimberT</vt:lpstr>
      <vt:lpstr>Top_Bottom_Rail_137.5mm_x_21mm_Material</vt:lpstr>
      <vt:lpstr>Top_Fixed_Pivot_Bracket</vt:lpstr>
      <vt:lpstr>Top_Track_Stopper_Block</vt:lpstr>
      <vt:lpstr>Top_Wheel</vt:lpstr>
      <vt:lpstr>TopBottom_Rail_137.5mm_x_21mmReinforced_Profile</vt:lpstr>
      <vt:lpstr>TopFrame100mm</vt:lpstr>
      <vt:lpstr>TopFrame140mm</vt:lpstr>
      <vt:lpstr>TopFrame180mm</vt:lpstr>
      <vt:lpstr>TopFrame220mm</vt:lpstr>
      <vt:lpstr>TopFrameBullnoseZFrame</vt:lpstr>
      <vt:lpstr>TopFrameHangingStrip</vt:lpstr>
      <vt:lpstr>TopFrameLargeBullnoseZFrame</vt:lpstr>
      <vt:lpstr>TopFrameLargeFFLFrame</vt:lpstr>
      <vt:lpstr>TopFrameLargeLFrame</vt:lpstr>
      <vt:lpstr>TopFrameLargeZFrame</vt:lpstr>
      <vt:lpstr>TopFrameMediumFFLFrame</vt:lpstr>
      <vt:lpstr>TopFrameMediumLFrame</vt:lpstr>
      <vt:lpstr>TopFrameNA</vt:lpstr>
      <vt:lpstr>TopFrameNoFrame</vt:lpstr>
      <vt:lpstr>TopFrameSmallFFLFrame</vt:lpstr>
      <vt:lpstr>TopFrameSmallLFrame</vt:lpstr>
      <vt:lpstr>TopFrameStandardZFrame</vt:lpstr>
      <vt:lpstr>TopFrameUChannel</vt:lpstr>
      <vt:lpstr>Track_Bi_Fold_BFT</vt:lpstr>
      <vt:lpstr>Track_Bi_Fold_Frame_Type</vt:lpstr>
      <vt:lpstr>Track_Bi_Fold_TF</vt:lpstr>
      <vt:lpstr>TrackBiFoldLayoutCodes</vt:lpstr>
      <vt:lpstr>Tracking_For_Bi_Fold_Sliding_Shutters_Material</vt:lpstr>
      <vt:lpstr>Transition_Range_Blinds_Product_Type</vt:lpstr>
      <vt:lpstr>Tridente_Colour</vt:lpstr>
      <vt:lpstr>Triple_Shade</vt:lpstr>
      <vt:lpstr>Triple_Shade_Finish</vt:lpstr>
      <vt:lpstr>Tube38mm</vt:lpstr>
      <vt:lpstr>Tube45mm</vt:lpstr>
      <vt:lpstr>U_Channel_40mm_x_15mm_Material</vt:lpstr>
      <vt:lpstr>U_Channel_40mm_x_25mm_Material</vt:lpstr>
      <vt:lpstr>UChannelNA</vt:lpstr>
      <vt:lpstr>UChannelYes</vt:lpstr>
      <vt:lpstr>VenetianProduct</vt:lpstr>
      <vt:lpstr>Venice</vt:lpstr>
      <vt:lpstr>Vertical_Extension_Bracket_Option</vt:lpstr>
      <vt:lpstr>Vertical_Extension_Bracket_Option_NA</vt:lpstr>
      <vt:lpstr>Vertical_Shade</vt:lpstr>
      <vt:lpstr>Vertical_Shade_Finish</vt:lpstr>
      <vt:lpstr>VerticalColours</vt:lpstr>
      <vt:lpstr>VerticalPelmentNo</vt:lpstr>
      <vt:lpstr>VerticalPelmentYes</vt:lpstr>
      <vt:lpstr>VerticalTrack</vt:lpstr>
      <vt:lpstr>WalnutW891</vt:lpstr>
      <vt:lpstr>White</vt:lpstr>
      <vt:lpstr>WhiteF186</vt:lpstr>
      <vt:lpstr>WhiteW105</vt:lpstr>
      <vt:lpstr>WindowType</vt:lpstr>
      <vt:lpstr>WindowTypeNA</vt:lpstr>
      <vt:lpstr>WindowTypeSkylight</vt:lpstr>
      <vt:lpstr>Yes</vt:lpstr>
      <vt:lpstr>Z_Sill_Frame_Material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Pacific Wholesale Distributors</dc:creator>
  <cp:lastModifiedBy>Tony Sinke</cp:lastModifiedBy>
  <cp:lastPrinted>2026-04-14T23:28:30Z</cp:lastPrinted>
  <dcterms:created xsi:type="dcterms:W3CDTF">2014-01-20T04:17:49Z</dcterms:created>
  <dcterms:modified xsi:type="dcterms:W3CDTF">2026-04-14T23:28:53Z</dcterms:modified>
</cp:coreProperties>
</file>