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C:\Users\Tony Sinke\Desktop\New Order Forms\"/>
    </mc:Choice>
  </mc:AlternateContent>
  <xr:revisionPtr revIDLastSave="0" documentId="13_ncr:1_{1AB10170-4680-4C12-9214-C06C68B01146}" xr6:coauthVersionLast="46" xr6:coauthVersionMax="47" xr10:uidLastSave="{00000000-0000-0000-0000-000000000000}"/>
  <workbookProtection workbookAlgorithmName="SHA-512" workbookHashValue="WV/soEQ4NyOhvexjDSpgULhL8vA3DQcl3GR6VK5GO7YZii0Tijt7SC396PuY6DNQM7ueEt02BK5gBC9M+R2jZA==" workbookSaltValue="R+kLXK0zwCzvMvia6d0dIA==" workbookSpinCount="100000" lockStructure="1"/>
  <bookViews>
    <workbookView xWindow="28680" yWindow="-120" windowWidth="38640" windowHeight="21240" firstSheet="2" activeTab="2" xr2:uid="{00000000-000D-0000-FFFF-FFFF00000000}"/>
  </bookViews>
  <sheets>
    <sheet name="Stores &amp; Delivery Addresses " sheetId="7" state="hidden" r:id="rId1"/>
    <sheet name="Summary" sheetId="6" state="hidden" r:id="rId2"/>
    <sheet name="Eco Aluminium External Shutters" sheetId="1" r:id="rId3"/>
    <sheet name="Aluminium Screen" sheetId="5" state="hidden" r:id="rId4"/>
    <sheet name="Data" sheetId="2" state="hidden" r:id="rId5"/>
    <sheet name="Privacy Screen Data" sheetId="3" state="hidden" r:id="rId6"/>
    <sheet name="Calculation Sheet" sheetId="4" state="hidden" r:id="rId7"/>
  </sheets>
  <definedNames>
    <definedName name="_63mm114mmProductInMS">'Eco Aluminium External Shutters'!$AG$9:$AG$10</definedName>
    <definedName name="_63mm114mmProductOut">'Eco Aluminium External Shutters'!$AF$9</definedName>
    <definedName name="_xlnm._FilterDatabase" localSheetId="3" hidden="1">'Aluminium Screen'!$A$9:$Q$45</definedName>
    <definedName name="_xlnm._FilterDatabase" localSheetId="2" hidden="1">'Eco Aluminium External Shutters'!$A$8:$AA$41</definedName>
    <definedName name="AlumimiumExternalLiteColour">'Eco Aluminium External Shutters'!$EA$9:$EA$10</definedName>
    <definedName name="AluminiumBiFoldLayoutCodes">Data!$AM$2:$AM$14</definedName>
    <definedName name="AluminiumColours">Data!$AG$2:$AG$3</definedName>
    <definedName name="AluminiumDoubleHingedLayoutCodes">Data!$AP$2:$AP$9</definedName>
    <definedName name="AluminiumExtraHardwares">'Eco Aluminium External Shutters'!$BB$26:$BB$38</definedName>
    <definedName name="AluminiumExtras">'Eco Aluminium External Shutters'!$BA$26:$BA$47</definedName>
    <definedName name="AluminiumExtrasLimitedColours">'Eco Aluminium External Shutters'!$BD$26:$BD$29</definedName>
    <definedName name="AluminiumFixedLayoutCodes">Data!$AN$2</definedName>
    <definedName name="AluminiumHingedLayoutCodes">Data!$AK$2:$AK$32</definedName>
    <definedName name="AluminiumNALayoutCodes">Data!$AO$2</definedName>
    <definedName name="AluminiumPivotHingedLayoutCodes">Data!$AQ$2:$AQ$5</definedName>
    <definedName name="AluminiumProductAll">'Eco Aluminium External Shutters'!$AI$9:$AI$11</definedName>
    <definedName name="AluminiumProductInOut">'Eco Aluminium External Shutters'!$AJ$9:$AJ$10</definedName>
    <definedName name="AluminiumScreenExtraColourExtraEAngle140mm40mm">'Privacy Screen Data'!$M$2:$M$5</definedName>
    <definedName name="AluminiumScreenExtraColourExtraFAngle240mmx20mm">'Privacy Screen Data'!$N$2:$N$5</definedName>
    <definedName name="AluminiumScreenExtraColourExtraGAngle325mmx20mm">'Privacy Screen Data'!$O$2:$O$5</definedName>
    <definedName name="AluminiumScreenExtraColourExtraHAngle420mmx12mm">'Privacy Screen Data'!$P$2:$P$5</definedName>
    <definedName name="AluminiumScreenExtraColourHFrame65mmx533mm">'Privacy Screen Data'!$L$2:$L$5</definedName>
    <definedName name="AluminiumScreenExtraColourMountingBracket">'Privacy Screen Data'!$J$2:$J$5</definedName>
    <definedName name="AluminiumScreenExtraColourStainlessSteelHinge">'Privacy Screen Data'!$Q$2</definedName>
    <definedName name="AluminiumScreenExtraColourUChannel536mmx30mm">'Privacy Screen Data'!$K$2:$K$5</definedName>
    <definedName name="AluminiumSlidingLayoutCodes">Data!$AL$2:$AL$20</definedName>
    <definedName name="AluminiumSpecialComments">'Eco Aluminium External Shutters'!$BC$26:$BC$32</definedName>
    <definedName name="BiFoldFrames">'Eco Aluminium External Shutters'!$DF$9</definedName>
    <definedName name="BiFoldFramesLeftRight">'Eco Aluminium External Shutters'!$DQ$9:$DQ$11</definedName>
    <definedName name="Colour">'Privacy Screen Data'!$A$2:$A$5</definedName>
    <definedName name="Delivery_Address">'Stores &amp; Delivery Addresses '!$D$3:$D$102</definedName>
    <definedName name="EcoExternalAluminiumColour">'Eco Aluminium External Shutters'!$CK$9:$CK$16</definedName>
    <definedName name="EcoExternalAluminiumColourAll">'Eco Aluminium External Shutters'!$EB$9:$EB$17</definedName>
    <definedName name="ExternalMoutingMethodIN">'Eco Aluminium External Shutters'!$CD$10:$CD$15</definedName>
    <definedName name="ExternalMoutingMethodMS">'Eco Aluminium External Shutters'!$CC$10</definedName>
    <definedName name="ExternalMoutingMethodOUT">'Eco Aluminium External Shutters'!$CE$10:$CE$14</definedName>
    <definedName name="ExternalShapedMountingMethodIn">'Eco Aluminium External Shutters'!$CI$10:$CI$11</definedName>
    <definedName name="ExternalShapedMountingMethodOut">'Eco Aluminium External Shutters'!$CJ$10</definedName>
    <definedName name="ExternalWindowType">'Eco Aluminium External Shutters'!$CA$9:$CA$11</definedName>
    <definedName name="FixedFrames">'Eco Aluminium External Shutters'!$DD$9</definedName>
    <definedName name="FlushBoltBiFoldSlinding">'Eco Aluminium External Shutters'!$AS$9</definedName>
    <definedName name="FlushBoltHinged">'Eco Aluminium External Shutters'!$AR$9:$AR$11</definedName>
    <definedName name="FlushBoltLocationNA">'Eco Aluminium External Shutters'!$AL$7</definedName>
    <definedName name="FlushBoltNA">'Eco Aluminium External Shutters'!$AN$9</definedName>
    <definedName name="FlushBoltYes">'Eco Aluminium External Shutters'!$AM$9:$AM$11</definedName>
    <definedName name="FrameBiFold">Data!$CF$2</definedName>
    <definedName name="FrameFixed">Data!$CG$2</definedName>
    <definedName name="FrameHinged">Data!$CH$2</definedName>
    <definedName name="FrameNA" localSheetId="2">'Eco Aluminium External Shutters'!$DY$9</definedName>
    <definedName name="FrameNA">Data!$CI$2</definedName>
    <definedName name="FrameSliding">Data!$CJ$2</definedName>
    <definedName name="FZFrameLeftRight">'Eco Aluminium External Shutters'!$DM$9:$DM$10</definedName>
    <definedName name="Hardware">Data!$S$2:$S$11</definedName>
    <definedName name="HingeColourBiFold">Data!$BR$2</definedName>
    <definedName name="HingeColourFixed">Data!$BS$2</definedName>
    <definedName name="HingeColourHinged">Data!$BP$2</definedName>
    <definedName name="HingeColourIN">Data!$AT$2</definedName>
    <definedName name="HingeColourMS">Data!$AS$2</definedName>
    <definedName name="HingeColourNA">Data!$BT$2</definedName>
    <definedName name="HingeColourNo">'Eco Aluminium External Shutters'!$CZ$9</definedName>
    <definedName name="HingeColourOUT">Data!$AU$2</definedName>
    <definedName name="HingeColourSliding">Data!$BQ$2</definedName>
    <definedName name="HingeColourYes">'Eco Aluminium External Shutters'!$CY$9:$CY$11</definedName>
    <definedName name="HingedDoubleHingedFrames">'Eco Aluminium External Shutters'!$DC$9:$DC$11</definedName>
    <definedName name="IN">Data!$A$2:$A$5</definedName>
    <definedName name="IN_1">Data!$O$2:$O$4</definedName>
    <definedName name="IN_2">Data!$G$2:$G$3</definedName>
    <definedName name="IN_3">Data!$K$2:$K$9</definedName>
    <definedName name="Item">'Privacy Screen Data'!$D$2:$D$9</definedName>
    <definedName name="KeyLock">'Eco Aluminium External Shutters'!$AZ$27:$AZ$29</definedName>
    <definedName name="Line_Item_Number">'Privacy Screen Data'!$F$2:$F$13</definedName>
    <definedName name="LockBiFold">Data!$BI$2:$BI$4</definedName>
    <definedName name="LockFixed">Data!$BJ$2</definedName>
    <definedName name="LockHinged">Data!$BG$2:$BG$5</definedName>
    <definedName name="LockNA">Data!$BK$2</definedName>
    <definedName name="LockSliding">Data!$BH$2:$BH$4</definedName>
    <definedName name="LourveLock">'Eco Aluminium External Shutters'!$AQ$27:$AQ$28</definedName>
    <definedName name="MS">Data!$C$2</definedName>
    <definedName name="MS_1">Data!$Q$2</definedName>
    <definedName name="MS_2">Data!$I$2</definedName>
    <definedName name="MS_3">Data!$M$2</definedName>
    <definedName name="NoShapes">'Eco Aluminium External Shutters'!$ER$9</definedName>
    <definedName name="OUT">Data!$B$2:$B$5</definedName>
    <definedName name="OUT_1">Data!$P$2:$P$4</definedName>
    <definedName name="OUT_2">Data!$H$2:$H$3</definedName>
    <definedName name="OUT_3">Data!$L$2:$L$9</definedName>
    <definedName name="Pacific_Sales_Coordinator">Data!$AD$3:$AD$6</definedName>
    <definedName name="PanelOnly">'Eco Aluminium External Shutters'!$DR$9</definedName>
    <definedName name="PivotHingedFrames">'Eco Aluminium External Shutters'!$DG$9</definedName>
    <definedName name="_xlnm.Print_Area" localSheetId="3">'Aluminium Screen'!$A$1:$Q$45</definedName>
    <definedName name="_xlnm.Print_Area" localSheetId="2">'Eco Aluminium External Shutters'!$A$1:$AA$41</definedName>
    <definedName name="Quantity">'Privacy Screen Data'!$B$2:$B$11</definedName>
    <definedName name="SecurityLock">'Eco Aluminium External Shutters'!$AS$27:$AS$28</definedName>
    <definedName name="SecurityLockNA">'Eco Aluminium External Shutters'!$AR$27</definedName>
    <definedName name="SecurityLockNo">'Eco Aluminium External Shutters'!$AW$27</definedName>
    <definedName name="SecurityLockYes">'Eco Aluminium External Shutters'!$AV$27:$AV$29</definedName>
    <definedName name="Shaped">'Eco Aluminium External Shutters'!$EQ$9:$EQ$11</definedName>
    <definedName name="SlidingFrames">'Eco Aluminium External Shutters'!$DE$9</definedName>
    <definedName name="SlidingFramesLeftRight">'Eco Aluminium External Shutters'!$DP$9:$DP$10</definedName>
    <definedName name="SlidingTopFrame">'Eco Aluminium External Shutters'!$DU$9</definedName>
    <definedName name="SliidingBottomFrame">'Eco Aluminium External Shutters'!$DV$9</definedName>
    <definedName name="SpecialComments1">Data!$BW$2:$BW$12</definedName>
    <definedName name="SpecialComments2">Data!$BX$2:$BX$12</definedName>
    <definedName name="StainlessSteelHingeOnly">'Eco Aluminium External Shutters'!$DA$9</definedName>
    <definedName name="Store_Name">'Stores &amp; Delivery Addresses '!$B$3:$B$52</definedName>
    <definedName name="THPost">'Eco Aluminium External Shutters'!$BZ$9:$BZ$14</definedName>
    <definedName name="TiltPrivacy">'Eco Aluminium External Shutters'!$EO$9</definedName>
    <definedName name="TiltrodBoth">'Eco Aluminium External Shutters'!$EN$9:$EN$10</definedName>
    <definedName name="TopBottomYes">'Eco Aluminium External Shutters'!$DT$9</definedName>
    <definedName name="UChannelLeftRight">'Eco Aluminium External Shutters'!$DO$9:$DO$11</definedName>
  </definedNames>
  <calcPr calcId="191029"/>
</workbook>
</file>

<file path=xl/calcChain.xml><?xml version="1.0" encoding="utf-8"?>
<calcChain xmlns="http://schemas.openxmlformats.org/spreadsheetml/2006/main">
  <c r="EY9" i="1" l="1"/>
  <c r="EY10" i="1"/>
  <c r="EW10" i="1"/>
  <c r="EX10" i="1"/>
  <c r="FC11" i="1"/>
  <c r="FC12" i="1"/>
  <c r="FC14" i="1"/>
  <c r="FC15" i="1"/>
  <c r="FC16" i="1"/>
  <c r="FC17" i="1"/>
  <c r="FC18" i="1"/>
  <c r="FC19" i="1"/>
  <c r="FC20" i="1"/>
  <c r="FC21" i="1"/>
  <c r="FC22" i="1"/>
  <c r="FC23" i="1"/>
  <c r="FC24" i="1"/>
  <c r="FA10" i="1"/>
  <c r="FB10" i="1"/>
  <c r="FA11" i="1"/>
  <c r="FB11" i="1"/>
  <c r="FA12" i="1"/>
  <c r="FB12" i="1"/>
  <c r="FA13" i="1"/>
  <c r="FB13" i="1"/>
  <c r="FA14" i="1"/>
  <c r="FB14" i="1"/>
  <c r="FA15" i="1"/>
  <c r="FB15" i="1"/>
  <c r="FA16" i="1"/>
  <c r="FB16" i="1"/>
  <c r="FA17" i="1"/>
  <c r="FB17" i="1"/>
  <c r="FA18" i="1"/>
  <c r="FB18" i="1"/>
  <c r="FA19" i="1"/>
  <c r="FB19" i="1"/>
  <c r="FA20" i="1"/>
  <c r="FB20" i="1"/>
  <c r="FA21" i="1"/>
  <c r="FB21" i="1"/>
  <c r="FA22" i="1"/>
  <c r="FB22" i="1"/>
  <c r="FA23" i="1"/>
  <c r="FB23" i="1"/>
  <c r="FA24" i="1"/>
  <c r="FB24" i="1"/>
  <c r="FB9" i="1"/>
  <c r="FA9" i="1"/>
  <c r="EY11" i="1"/>
  <c r="EW11" i="1"/>
  <c r="EW9" i="1"/>
  <c r="EX9" i="1"/>
  <c r="EX11" i="1"/>
  <c r="CL17" i="1"/>
  <c r="FC13" i="1" l="1"/>
  <c r="FC10" i="1"/>
  <c r="FC9" i="1"/>
  <c r="ES10" i="1"/>
  <c r="ES11" i="1"/>
  <c r="ES12" i="1"/>
  <c r="ES13" i="1"/>
  <c r="ES14" i="1"/>
  <c r="ES15" i="1"/>
  <c r="ES16" i="1"/>
  <c r="ES17" i="1"/>
  <c r="ES18" i="1"/>
  <c r="ES19" i="1"/>
  <c r="ES20" i="1"/>
  <c r="ES21" i="1"/>
  <c r="ES22" i="1"/>
  <c r="ES23" i="1"/>
  <c r="ES24" i="1"/>
  <c r="ES9" i="1"/>
  <c r="DL13" i="1" l="1"/>
  <c r="DK13" i="1"/>
  <c r="CL16" i="1"/>
  <c r="CL14" i="1"/>
  <c r="CL11" i="1"/>
  <c r="CL10" i="1"/>
  <c r="CL15" i="1"/>
  <c r="CL13" i="1"/>
  <c r="CL12" i="1"/>
  <c r="CL9" i="1"/>
  <c r="BF43" i="1"/>
  <c r="AP28" i="1"/>
  <c r="AP29" i="1"/>
  <c r="AP30" i="1"/>
  <c r="AP31" i="1"/>
  <c r="AP32" i="1"/>
  <c r="AP33" i="1"/>
  <c r="AP34" i="1"/>
  <c r="AP35" i="1"/>
  <c r="AP36" i="1"/>
  <c r="AP37" i="1"/>
  <c r="AP38" i="1"/>
  <c r="AP39" i="1"/>
  <c r="AP40" i="1"/>
  <c r="AP41" i="1"/>
  <c r="AP27" i="1"/>
  <c r="AX28" i="1"/>
  <c r="AX29" i="1"/>
  <c r="AX30" i="1"/>
  <c r="AX31" i="1"/>
  <c r="AX32" i="1"/>
  <c r="AX33" i="1"/>
  <c r="AX34" i="1"/>
  <c r="AX35" i="1"/>
  <c r="AX36" i="1"/>
  <c r="AX37" i="1"/>
  <c r="AX38" i="1"/>
  <c r="AX39" i="1"/>
  <c r="AX40" i="1"/>
  <c r="AX41" i="1"/>
  <c r="AX27" i="1"/>
  <c r="AT28" i="1"/>
  <c r="AT29" i="1"/>
  <c r="AT30" i="1"/>
  <c r="AT31" i="1"/>
  <c r="AT32" i="1"/>
  <c r="AT33" i="1"/>
  <c r="AT34" i="1"/>
  <c r="AT35" i="1"/>
  <c r="AT36" i="1"/>
  <c r="AT37" i="1"/>
  <c r="AT38" i="1"/>
  <c r="AT39" i="1"/>
  <c r="AT40" i="1"/>
  <c r="AT41" i="1"/>
  <c r="AT27" i="1"/>
  <c r="AU27" i="1"/>
  <c r="EP23" i="1" l="1"/>
  <c r="EP24" i="1"/>
  <c r="EP10" i="1"/>
  <c r="EP11" i="1"/>
  <c r="EP12" i="1"/>
  <c r="EP13" i="1"/>
  <c r="EP15" i="1"/>
  <c r="EP17" i="1"/>
  <c r="EP18" i="1"/>
  <c r="EP19" i="1"/>
  <c r="EP20" i="1"/>
  <c r="EP21" i="1"/>
  <c r="EP22" i="1"/>
  <c r="EM11" i="1"/>
  <c r="EP9" i="1" s="1"/>
  <c r="EM10" i="1"/>
  <c r="EP14" i="1" s="1"/>
  <c r="EM9" i="1"/>
  <c r="AH10" i="1"/>
  <c r="AH11" i="1"/>
  <c r="AH12" i="1"/>
  <c r="AH13" i="1"/>
  <c r="AH14" i="1"/>
  <c r="AH15" i="1"/>
  <c r="AH16" i="1"/>
  <c r="AH17" i="1"/>
  <c r="AH18" i="1"/>
  <c r="AH19" i="1"/>
  <c r="AH20" i="1"/>
  <c r="AH21" i="1"/>
  <c r="AH22" i="1"/>
  <c r="AH23" i="1"/>
  <c r="AH9" i="1"/>
  <c r="EI10" i="1"/>
  <c r="EI11" i="1"/>
  <c r="EI12" i="1"/>
  <c r="EI13" i="1"/>
  <c r="EJ13" i="1" s="1"/>
  <c r="EI14" i="1"/>
  <c r="EI15" i="1"/>
  <c r="EJ15" i="1" s="1"/>
  <c r="EI16" i="1"/>
  <c r="EJ16" i="1" s="1"/>
  <c r="EI17" i="1"/>
  <c r="EJ17" i="1" s="1"/>
  <c r="EI18" i="1"/>
  <c r="EJ18" i="1" s="1"/>
  <c r="EI19" i="1"/>
  <c r="EJ19" i="1" s="1"/>
  <c r="EI20" i="1"/>
  <c r="EJ20" i="1" s="1"/>
  <c r="EI21" i="1"/>
  <c r="EJ21" i="1" s="1"/>
  <c r="EI22" i="1"/>
  <c r="EJ22" i="1" s="1"/>
  <c r="EI23" i="1"/>
  <c r="EJ23" i="1" s="1"/>
  <c r="EI24" i="1"/>
  <c r="EJ24" i="1" s="1"/>
  <c r="EI9" i="1"/>
  <c r="EH10" i="1"/>
  <c r="EH11" i="1"/>
  <c r="EH12" i="1"/>
  <c r="EH13" i="1"/>
  <c r="EH14" i="1"/>
  <c r="EH9" i="1"/>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45" i="2"/>
  <c r="BB46" i="2"/>
  <c r="BB47" i="2"/>
  <c r="BB48" i="2"/>
  <c r="BB49" i="2"/>
  <c r="BB50" i="2"/>
  <c r="BB51" i="2"/>
  <c r="BB52" i="2"/>
  <c r="BB53"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3" i="2"/>
  <c r="EJ10" i="1" l="1"/>
  <c r="EP16" i="1"/>
  <c r="EJ14" i="1"/>
  <c r="EJ9" i="1"/>
  <c r="EJ12" i="1"/>
  <c r="EJ11" i="1"/>
  <c r="BG28" i="1"/>
  <c r="BG29" i="1"/>
  <c r="BG30" i="1"/>
  <c r="BG31" i="1"/>
  <c r="BG32" i="1"/>
  <c r="BG33" i="1"/>
  <c r="BG34" i="1"/>
  <c r="BG35" i="1"/>
  <c r="BG36" i="1"/>
  <c r="BG37" i="1"/>
  <c r="BG38" i="1"/>
  <c r="BG39" i="1"/>
  <c r="BG40" i="1"/>
  <c r="BG41" i="1"/>
  <c r="BG27" i="1"/>
  <c r="BF44" i="1"/>
  <c r="BF47" i="1"/>
  <c r="BF46" i="1"/>
  <c r="BF45" i="1"/>
  <c r="BF42" i="1"/>
  <c r="BF41" i="1"/>
  <c r="BF40" i="1"/>
  <c r="BF39" i="1"/>
  <c r="BF38" i="1"/>
  <c r="BF35" i="1"/>
  <c r="BF32" i="1"/>
  <c r="BF37" i="1"/>
  <c r="BF36" i="1"/>
  <c r="BF34" i="1"/>
  <c r="BF33" i="1"/>
  <c r="BF31" i="1"/>
  <c r="BF30" i="1"/>
  <c r="BF29" i="1"/>
  <c r="BF28" i="1"/>
  <c r="BF27" i="1"/>
  <c r="BF26" i="1"/>
  <c r="AZ10" i="1"/>
  <c r="AZ11" i="1"/>
  <c r="AZ12" i="1"/>
  <c r="AZ13" i="1"/>
  <c r="AZ14" i="1"/>
  <c r="AZ15" i="1"/>
  <c r="AZ16" i="1"/>
  <c r="AZ17" i="1"/>
  <c r="AZ18" i="1"/>
  <c r="AZ19" i="1"/>
  <c r="AZ20" i="1"/>
  <c r="AZ21" i="1"/>
  <c r="AZ22" i="1"/>
  <c r="AZ23" i="1"/>
  <c r="DZ10" i="1"/>
  <c r="DZ11" i="1"/>
  <c r="DZ12" i="1"/>
  <c r="DZ13" i="1"/>
  <c r="DZ14" i="1"/>
  <c r="DZ15" i="1"/>
  <c r="DZ16" i="1"/>
  <c r="DZ17" i="1"/>
  <c r="DZ18" i="1"/>
  <c r="DZ19" i="1"/>
  <c r="DZ20" i="1"/>
  <c r="DZ21" i="1"/>
  <c r="DZ22" i="1"/>
  <c r="DZ23" i="1"/>
  <c r="DZ24" i="1"/>
  <c r="DZ9" i="1"/>
  <c r="AA12" i="1"/>
  <c r="AZ9" i="1"/>
  <c r="AQ13" i="1" l="1"/>
  <c r="AP13" i="1"/>
  <c r="DL15" i="1"/>
  <c r="DK15" i="1"/>
  <c r="DJ15" i="1"/>
  <c r="CX14" i="1"/>
  <c r="CW14" i="1"/>
  <c r="AT11" i="1"/>
  <c r="AK11" i="1" s="1"/>
  <c r="AT12" i="1"/>
  <c r="AK12" i="1" s="1"/>
  <c r="AT13" i="1"/>
  <c r="AK13" i="1" s="1"/>
  <c r="AT14" i="1"/>
  <c r="AK14" i="1" s="1"/>
  <c r="AT15" i="1"/>
  <c r="AK15" i="1" s="1"/>
  <c r="AT16" i="1"/>
  <c r="AK16" i="1" s="1"/>
  <c r="AT17" i="1"/>
  <c r="AK17" i="1" s="1"/>
  <c r="AT18" i="1"/>
  <c r="AK18" i="1" s="1"/>
  <c r="AT19" i="1"/>
  <c r="AK19" i="1" s="1"/>
  <c r="AT20" i="1"/>
  <c r="AK20" i="1" s="1"/>
  <c r="AT21" i="1"/>
  <c r="AK21" i="1" s="1"/>
  <c r="AT22" i="1"/>
  <c r="AK22" i="1" s="1"/>
  <c r="AT23" i="1"/>
  <c r="AK23" i="1" s="1"/>
  <c r="AL23" i="1"/>
  <c r="AL11" i="1"/>
  <c r="AL12" i="1"/>
  <c r="AL13" i="1"/>
  <c r="AL14" i="1"/>
  <c r="AL15" i="1"/>
  <c r="AL16" i="1"/>
  <c r="AL17" i="1"/>
  <c r="AL18" i="1"/>
  <c r="AL19" i="1"/>
  <c r="AL20" i="1"/>
  <c r="AL21" i="1"/>
  <c r="AL22" i="1"/>
  <c r="AP14" i="1"/>
  <c r="AP12" i="1"/>
  <c r="AP11" i="1"/>
  <c r="AL9" i="1" s="1"/>
  <c r="AP10" i="1"/>
  <c r="AL10" i="1" s="1"/>
  <c r="AP9" i="1"/>
  <c r="AP8" i="1"/>
  <c r="AQ14" i="1"/>
  <c r="AQ12" i="1"/>
  <c r="AQ11" i="1"/>
  <c r="AQ10" i="1"/>
  <c r="AT10" i="1" s="1"/>
  <c r="AK10" i="1" s="1"/>
  <c r="AU28" i="1"/>
  <c r="AU29" i="1"/>
  <c r="AU30" i="1"/>
  <c r="AU31" i="1"/>
  <c r="AU32" i="1"/>
  <c r="AU33" i="1"/>
  <c r="AU34" i="1"/>
  <c r="AU35" i="1"/>
  <c r="AU36" i="1"/>
  <c r="AU37" i="1"/>
  <c r="AU38" i="1"/>
  <c r="AU39" i="1"/>
  <c r="AU40" i="1"/>
  <c r="AU41" i="1"/>
  <c r="DL16" i="1"/>
  <c r="DX9" i="1" s="1"/>
  <c r="DK16" i="1"/>
  <c r="DW24" i="1"/>
  <c r="DX24" i="1"/>
  <c r="DW10" i="1"/>
  <c r="DX10" i="1"/>
  <c r="DW11" i="1"/>
  <c r="DX11" i="1"/>
  <c r="DW12" i="1"/>
  <c r="DX12" i="1"/>
  <c r="DW13" i="1"/>
  <c r="DX13" i="1"/>
  <c r="DW14" i="1"/>
  <c r="DW15" i="1"/>
  <c r="DX15" i="1"/>
  <c r="DW16" i="1"/>
  <c r="DX16" i="1"/>
  <c r="DW17" i="1"/>
  <c r="DX17" i="1"/>
  <c r="DW18" i="1"/>
  <c r="DX18" i="1"/>
  <c r="DW19" i="1"/>
  <c r="DX19" i="1"/>
  <c r="DW20" i="1"/>
  <c r="DX20" i="1"/>
  <c r="DW21" i="1"/>
  <c r="DX21" i="1"/>
  <c r="DW22" i="1"/>
  <c r="DX22" i="1"/>
  <c r="DW23" i="1"/>
  <c r="DX23" i="1"/>
  <c r="DL14" i="1"/>
  <c r="DK14" i="1"/>
  <c r="DL12" i="1"/>
  <c r="DX14" i="1" s="1"/>
  <c r="DL11" i="1"/>
  <c r="DL10" i="1"/>
  <c r="DL9" i="1"/>
  <c r="DK12" i="1"/>
  <c r="DK11" i="1"/>
  <c r="DK10" i="1"/>
  <c r="DK9" i="1"/>
  <c r="DS10" i="1"/>
  <c r="DS11" i="1"/>
  <c r="DS12" i="1"/>
  <c r="DS13" i="1"/>
  <c r="DS14" i="1"/>
  <c r="DS15" i="1"/>
  <c r="DS16" i="1"/>
  <c r="DS17" i="1"/>
  <c r="DS18" i="1"/>
  <c r="DS19" i="1"/>
  <c r="DS20" i="1"/>
  <c r="DS21" i="1"/>
  <c r="DS22" i="1"/>
  <c r="DS23" i="1"/>
  <c r="DJ16" i="1"/>
  <c r="DJ14" i="1"/>
  <c r="DJ13" i="1"/>
  <c r="DJ12" i="1"/>
  <c r="DJ11" i="1"/>
  <c r="DJ10" i="1"/>
  <c r="DJ9" i="1"/>
  <c r="DH11" i="1"/>
  <c r="DH12" i="1"/>
  <c r="DH13" i="1"/>
  <c r="DH15" i="1"/>
  <c r="DH16" i="1"/>
  <c r="DH17" i="1"/>
  <c r="DH18" i="1"/>
  <c r="DH19" i="1"/>
  <c r="DH20" i="1"/>
  <c r="DH21" i="1"/>
  <c r="DH22" i="1"/>
  <c r="DH23" i="1"/>
  <c r="DH24" i="1"/>
  <c r="CX10" i="1"/>
  <c r="DH14" i="1" s="1"/>
  <c r="CX15" i="1"/>
  <c r="CX13" i="1"/>
  <c r="CX12" i="1"/>
  <c r="DH9" i="1" s="1"/>
  <c r="CX11" i="1"/>
  <c r="DH10" i="1" s="1"/>
  <c r="CX9" i="1"/>
  <c r="DB11" i="1"/>
  <c r="DB12" i="1"/>
  <c r="DB13" i="1"/>
  <c r="DB15" i="1"/>
  <c r="DB16" i="1"/>
  <c r="DB17" i="1"/>
  <c r="DB18" i="1"/>
  <c r="DB19" i="1"/>
  <c r="DB20" i="1"/>
  <c r="DB21" i="1"/>
  <c r="DB22" i="1"/>
  <c r="DB23" i="1"/>
  <c r="DB24" i="1"/>
  <c r="CW10" i="1"/>
  <c r="DB14" i="1" s="1"/>
  <c r="CW11" i="1"/>
  <c r="DB10" i="1" s="1"/>
  <c r="CW12" i="1"/>
  <c r="CW13" i="1"/>
  <c r="CW15" i="1"/>
  <c r="CW9" i="1"/>
  <c r="CR10" i="1"/>
  <c r="CS10" i="1"/>
  <c r="CR11" i="1"/>
  <c r="CS11" i="1"/>
  <c r="CR12" i="1"/>
  <c r="CS12" i="1"/>
  <c r="CR13" i="1"/>
  <c r="CS13" i="1"/>
  <c r="CR14" i="1"/>
  <c r="CS14" i="1"/>
  <c r="CR15" i="1"/>
  <c r="CS15" i="1"/>
  <c r="CR16" i="1"/>
  <c r="CS16" i="1"/>
  <c r="CR17" i="1"/>
  <c r="CS17" i="1"/>
  <c r="CR18" i="1"/>
  <c r="CS18" i="1"/>
  <c r="CR19" i="1"/>
  <c r="CS19" i="1"/>
  <c r="CR20" i="1"/>
  <c r="CS20" i="1"/>
  <c r="CR21" i="1"/>
  <c r="CS21" i="1"/>
  <c r="CR22" i="1"/>
  <c r="CS22" i="1"/>
  <c r="CR23" i="1"/>
  <c r="CS23" i="1"/>
  <c r="CR24" i="1"/>
  <c r="CS24" i="1"/>
  <c r="CR9" i="1"/>
  <c r="CS9" i="1"/>
  <c r="CN11" i="1"/>
  <c r="CN10" i="1"/>
  <c r="CP9" i="1"/>
  <c r="CO9" i="1"/>
  <c r="CN9" i="1"/>
  <c r="DW9" i="1" l="1"/>
  <c r="DS9" i="1"/>
  <c r="AT9" i="1"/>
  <c r="AK9" i="1" s="1"/>
  <c r="DB9" i="1"/>
  <c r="CT17" i="1"/>
  <c r="CT11" i="1"/>
  <c r="CT21" i="1"/>
  <c r="CT15" i="1"/>
  <c r="CT9" i="1"/>
  <c r="CT22" i="1"/>
  <c r="CT13" i="1"/>
  <c r="CT12" i="1"/>
  <c r="CT24" i="1"/>
  <c r="CT23" i="1"/>
  <c r="CT18" i="1"/>
  <c r="CT16" i="1"/>
  <c r="CT20" i="1"/>
  <c r="CT14" i="1"/>
  <c r="CT19" i="1"/>
  <c r="AU17" i="1"/>
  <c r="AV17" i="1"/>
  <c r="AW17" i="1"/>
  <c r="AX17" i="1"/>
  <c r="AY17" i="1"/>
  <c r="BA17" i="1"/>
  <c r="BB17" i="1"/>
  <c r="BC17" i="1"/>
  <c r="BD17" i="1" s="1"/>
  <c r="BE17" i="1"/>
  <c r="BF17" i="1"/>
  <c r="BG17" i="1"/>
  <c r="BH17" i="1"/>
  <c r="BI17" i="1"/>
  <c r="BJ17" i="1"/>
  <c r="BK17" i="1"/>
  <c r="BL17" i="1"/>
  <c r="BO17" i="1"/>
  <c r="BP17" i="1"/>
  <c r="BS17" i="1" s="1"/>
  <c r="BQ17" i="1"/>
  <c r="BT17" i="1" s="1"/>
  <c r="BR17" i="1"/>
  <c r="BU17" i="1" s="1"/>
  <c r="BY17" i="1"/>
  <c r="AU18" i="1"/>
  <c r="AV18" i="1"/>
  <c r="AW18" i="1"/>
  <c r="AX18" i="1"/>
  <c r="AY18" i="1"/>
  <c r="BA18" i="1"/>
  <c r="BB18" i="1"/>
  <c r="BC18" i="1"/>
  <c r="BD18" i="1" s="1"/>
  <c r="BE18" i="1"/>
  <c r="BF18" i="1"/>
  <c r="BG18" i="1"/>
  <c r="BH18" i="1"/>
  <c r="BI18" i="1"/>
  <c r="BJ18" i="1"/>
  <c r="BK18" i="1"/>
  <c r="BL18" i="1"/>
  <c r="BO18" i="1"/>
  <c r="BP18" i="1"/>
  <c r="BS18" i="1" s="1"/>
  <c r="BQ18" i="1"/>
  <c r="BT18" i="1" s="1"/>
  <c r="BR18" i="1"/>
  <c r="BU18" i="1" s="1"/>
  <c r="BY18" i="1"/>
  <c r="AU19" i="1"/>
  <c r="AV19" i="1"/>
  <c r="AW19" i="1"/>
  <c r="AX19" i="1"/>
  <c r="AY19" i="1"/>
  <c r="BA19" i="1"/>
  <c r="BB19" i="1"/>
  <c r="BC19" i="1"/>
  <c r="BD19" i="1" s="1"/>
  <c r="BE19" i="1"/>
  <c r="BF19" i="1"/>
  <c r="BG19" i="1"/>
  <c r="BH19" i="1"/>
  <c r="BI19" i="1"/>
  <c r="BJ19" i="1"/>
  <c r="BK19" i="1"/>
  <c r="BL19" i="1"/>
  <c r="BO19" i="1"/>
  <c r="BP19" i="1"/>
  <c r="BS19" i="1" s="1"/>
  <c r="BQ19" i="1"/>
  <c r="BT19" i="1" s="1"/>
  <c r="BR19" i="1"/>
  <c r="BU19" i="1" s="1"/>
  <c r="BY19" i="1"/>
  <c r="AU20" i="1"/>
  <c r="AV20" i="1"/>
  <c r="AW20" i="1"/>
  <c r="AX20" i="1"/>
  <c r="AY20" i="1"/>
  <c r="BA20" i="1"/>
  <c r="BB20" i="1"/>
  <c r="BC20" i="1"/>
  <c r="BD20" i="1" s="1"/>
  <c r="BE20" i="1"/>
  <c r="BF20" i="1"/>
  <c r="BG20" i="1"/>
  <c r="BH20" i="1"/>
  <c r="BI20" i="1"/>
  <c r="BJ20" i="1"/>
  <c r="BK20" i="1"/>
  <c r="BL20" i="1"/>
  <c r="BO20" i="1"/>
  <c r="BP20" i="1"/>
  <c r="BS20" i="1" s="1"/>
  <c r="BQ20" i="1"/>
  <c r="BT20" i="1" s="1"/>
  <c r="BR20" i="1"/>
  <c r="BU20" i="1" s="1"/>
  <c r="BY20" i="1"/>
  <c r="AU21" i="1"/>
  <c r="AV21" i="1"/>
  <c r="AW21" i="1"/>
  <c r="AX21" i="1"/>
  <c r="AY21" i="1"/>
  <c r="BA21" i="1"/>
  <c r="BB21" i="1"/>
  <c r="BC21" i="1"/>
  <c r="BD21" i="1" s="1"/>
  <c r="BE21" i="1"/>
  <c r="BF21" i="1"/>
  <c r="BG21" i="1"/>
  <c r="BH21" i="1"/>
  <c r="BI21" i="1"/>
  <c r="BJ21" i="1"/>
  <c r="BK21" i="1"/>
  <c r="BL21" i="1"/>
  <c r="BO21" i="1"/>
  <c r="BP21" i="1"/>
  <c r="BS21" i="1" s="1"/>
  <c r="BQ21" i="1"/>
  <c r="BT21" i="1" s="1"/>
  <c r="BR21" i="1"/>
  <c r="BU21" i="1" s="1"/>
  <c r="BY21" i="1"/>
  <c r="AU22" i="1"/>
  <c r="AV22" i="1"/>
  <c r="AW22" i="1"/>
  <c r="AX22" i="1"/>
  <c r="AY22" i="1"/>
  <c r="BA22" i="1"/>
  <c r="BB22" i="1"/>
  <c r="BC22" i="1"/>
  <c r="BD22" i="1" s="1"/>
  <c r="BE22" i="1"/>
  <c r="BF22" i="1"/>
  <c r="BG22" i="1"/>
  <c r="BH22" i="1"/>
  <c r="BI22" i="1"/>
  <c r="BJ22" i="1"/>
  <c r="BK22" i="1"/>
  <c r="BL22" i="1"/>
  <c r="BO22" i="1"/>
  <c r="BP22" i="1"/>
  <c r="BS22" i="1" s="1"/>
  <c r="BQ22" i="1"/>
  <c r="BT22" i="1" s="1"/>
  <c r="BR22" i="1"/>
  <c r="BU22" i="1" s="1"/>
  <c r="BY22" i="1"/>
  <c r="AU23" i="1"/>
  <c r="AV23" i="1"/>
  <c r="AW23" i="1"/>
  <c r="AX23" i="1"/>
  <c r="AY23" i="1"/>
  <c r="BA23" i="1"/>
  <c r="BB23" i="1"/>
  <c r="BC23" i="1"/>
  <c r="BD23" i="1" s="1"/>
  <c r="BE23" i="1"/>
  <c r="BF23" i="1"/>
  <c r="BG23" i="1"/>
  <c r="BH23" i="1"/>
  <c r="BI23" i="1"/>
  <c r="BJ23" i="1"/>
  <c r="BK23" i="1"/>
  <c r="BL23" i="1"/>
  <c r="BO23" i="1"/>
  <c r="BP23" i="1"/>
  <c r="BS23" i="1" s="1"/>
  <c r="BQ23" i="1"/>
  <c r="BT23" i="1" s="1"/>
  <c r="BR23" i="1"/>
  <c r="BU23" i="1" s="1"/>
  <c r="BY23" i="1"/>
  <c r="CF11" i="1"/>
  <c r="CF12" i="1"/>
  <c r="CF13" i="1"/>
  <c r="CF14" i="1"/>
  <c r="CF15" i="1"/>
  <c r="CF16" i="1"/>
  <c r="CF17" i="1"/>
  <c r="CF18" i="1"/>
  <c r="CF19" i="1"/>
  <c r="CF20" i="1"/>
  <c r="CF21" i="1"/>
  <c r="CF22" i="1"/>
  <c r="CF23" i="1"/>
  <c r="CF9" i="1"/>
  <c r="BV23" i="1" l="1"/>
  <c r="BW23" i="1" s="1"/>
  <c r="BX23" i="1" s="1"/>
  <c r="BV21" i="1"/>
  <c r="BW21" i="1" s="1"/>
  <c r="BX21" i="1" s="1"/>
  <c r="BV19" i="1"/>
  <c r="BW19" i="1" s="1"/>
  <c r="BX19" i="1" s="1"/>
  <c r="BM17" i="1"/>
  <c r="BN17" i="1" s="1"/>
  <c r="BM19" i="1"/>
  <c r="BN19" i="1" s="1"/>
  <c r="BV20" i="1"/>
  <c r="BW20" i="1" s="1"/>
  <c r="BX20" i="1" s="1"/>
  <c r="BV17" i="1"/>
  <c r="BW17" i="1" s="1"/>
  <c r="BX17" i="1" s="1"/>
  <c r="BM23" i="1"/>
  <c r="BN23" i="1" s="1"/>
  <c r="BM21" i="1"/>
  <c r="BN21" i="1" s="1"/>
  <c r="BM20" i="1"/>
  <c r="BN20" i="1" s="1"/>
  <c r="BM22" i="1"/>
  <c r="BN22" i="1" s="1"/>
  <c r="BM18" i="1"/>
  <c r="BN18" i="1" s="1"/>
  <c r="BV22" i="1"/>
  <c r="BW22" i="1" s="1"/>
  <c r="BX22" i="1" s="1"/>
  <c r="BV18" i="1"/>
  <c r="BW18" i="1" s="1"/>
  <c r="BX18" i="1" s="1"/>
  <c r="CP11" i="1" l="1"/>
  <c r="CO11" i="1"/>
  <c r="CT10" i="1" s="1"/>
  <c r="CP10" i="1"/>
  <c r="CO10" i="1"/>
  <c r="CF10" i="1"/>
  <c r="BY10" i="1" l="1"/>
  <c r="BY11" i="1"/>
  <c r="BY12" i="1"/>
  <c r="BY13" i="1"/>
  <c r="BY14" i="1"/>
  <c r="BY15" i="1"/>
  <c r="BY16" i="1"/>
  <c r="BY9" i="1"/>
  <c r="BJ10" i="1"/>
  <c r="BJ11" i="1"/>
  <c r="BJ12" i="1"/>
  <c r="BJ13" i="1"/>
  <c r="BJ14" i="1"/>
  <c r="BJ15" i="1"/>
  <c r="BJ16" i="1"/>
  <c r="BJ9" i="1"/>
  <c r="BO11" i="1"/>
  <c r="BP11" i="1"/>
  <c r="BS11" i="1" s="1"/>
  <c r="BQ11" i="1"/>
  <c r="BT11" i="1" s="1"/>
  <c r="BR11" i="1"/>
  <c r="BU11" i="1" s="1"/>
  <c r="BP10" i="1"/>
  <c r="BS10" i="1" s="1"/>
  <c r="BQ10" i="1"/>
  <c r="BT10" i="1" s="1"/>
  <c r="BR10" i="1"/>
  <c r="BU10" i="1" s="1"/>
  <c r="BP12" i="1"/>
  <c r="BS12" i="1" s="1"/>
  <c r="BQ12" i="1"/>
  <c r="BT12" i="1" s="1"/>
  <c r="BR12" i="1"/>
  <c r="BU12" i="1" s="1"/>
  <c r="BO12" i="1"/>
  <c r="BP13" i="1"/>
  <c r="BS13" i="1" s="1"/>
  <c r="BQ13" i="1"/>
  <c r="BT13" i="1" s="1"/>
  <c r="BR13" i="1"/>
  <c r="BU13" i="1" s="1"/>
  <c r="BP14" i="1"/>
  <c r="BS14" i="1" s="1"/>
  <c r="BQ14" i="1"/>
  <c r="BT14" i="1" s="1"/>
  <c r="BR14" i="1"/>
  <c r="BU14" i="1" s="1"/>
  <c r="BP15" i="1"/>
  <c r="BS15" i="1" s="1"/>
  <c r="BQ15" i="1"/>
  <c r="BT15" i="1" s="1"/>
  <c r="BR15" i="1"/>
  <c r="BU15" i="1" s="1"/>
  <c r="BP16" i="1"/>
  <c r="BS16" i="1" s="1"/>
  <c r="BQ16" i="1"/>
  <c r="BT16" i="1" s="1"/>
  <c r="BR16" i="1"/>
  <c r="BU16" i="1" s="1"/>
  <c r="BP9" i="1"/>
  <c r="BS9" i="1" s="1"/>
  <c r="BQ9" i="1"/>
  <c r="BT9" i="1" s="1"/>
  <c r="BR9" i="1"/>
  <c r="BU9" i="1" s="1"/>
  <c r="BO9" i="1"/>
  <c r="AA9" i="1"/>
  <c r="BO10" i="1"/>
  <c r="BO13" i="1"/>
  <c r="BO14" i="1"/>
  <c r="BO15" i="1"/>
  <c r="BO16" i="1"/>
  <c r="AU10" i="1"/>
  <c r="AU11" i="1"/>
  <c r="AU12" i="1"/>
  <c r="AU13" i="1"/>
  <c r="AU14" i="1"/>
  <c r="AU15" i="1"/>
  <c r="AU16" i="1"/>
  <c r="AU9" i="1"/>
  <c r="BL10" i="1"/>
  <c r="BK10" i="1"/>
  <c r="BL11" i="1"/>
  <c r="BK11" i="1"/>
  <c r="BL12" i="1"/>
  <c r="BK12" i="1"/>
  <c r="BL13" i="1"/>
  <c r="BK13" i="1"/>
  <c r="BL14" i="1"/>
  <c r="BK14" i="1"/>
  <c r="BL15" i="1"/>
  <c r="BK15" i="1"/>
  <c r="BL16" i="1"/>
  <c r="BK16" i="1"/>
  <c r="BL9" i="1"/>
  <c r="BK9" i="1"/>
  <c r="Q4" i="5"/>
  <c r="AL24" i="5"/>
  <c r="AL25" i="5"/>
  <c r="AL26" i="5"/>
  <c r="AL27" i="5"/>
  <c r="AL28" i="5"/>
  <c r="AL29" i="5"/>
  <c r="AL30" i="5"/>
  <c r="AL31" i="5"/>
  <c r="AL32" i="5"/>
  <c r="AL33" i="5"/>
  <c r="AL23" i="5"/>
  <c r="BA10" i="1"/>
  <c r="BA11" i="1"/>
  <c r="BA12" i="1"/>
  <c r="BA13" i="1"/>
  <c r="BA14" i="1"/>
  <c r="BA15" i="1"/>
  <c r="BA16" i="1"/>
  <c r="BA9" i="1"/>
  <c r="BI10" i="1"/>
  <c r="BI11" i="1"/>
  <c r="BI12" i="1"/>
  <c r="BI13" i="1"/>
  <c r="BI14" i="1"/>
  <c r="BI15" i="1"/>
  <c r="BI16" i="1"/>
  <c r="BI9" i="1"/>
  <c r="BH10" i="1"/>
  <c r="BH11" i="1"/>
  <c r="BH12" i="1"/>
  <c r="BH13" i="1"/>
  <c r="BH14" i="1"/>
  <c r="BH15" i="1"/>
  <c r="BH16" i="1"/>
  <c r="BH9" i="1"/>
  <c r="BG10" i="1"/>
  <c r="BG11" i="1"/>
  <c r="BG12" i="1"/>
  <c r="BG13" i="1"/>
  <c r="BG14" i="1"/>
  <c r="BG15" i="1"/>
  <c r="BG16" i="1"/>
  <c r="BG9" i="1"/>
  <c r="BF10" i="1"/>
  <c r="BF11" i="1"/>
  <c r="BF12" i="1"/>
  <c r="BF13" i="1"/>
  <c r="BF14" i="1"/>
  <c r="BF15" i="1"/>
  <c r="BF16" i="1"/>
  <c r="BF9" i="1"/>
  <c r="BE10" i="1"/>
  <c r="BE11" i="1"/>
  <c r="BE12" i="1"/>
  <c r="BE13" i="1"/>
  <c r="BE14" i="1"/>
  <c r="BE15" i="1"/>
  <c r="BE16" i="1"/>
  <c r="BE9" i="1"/>
  <c r="BC10" i="1"/>
  <c r="BD10" i="1" s="1"/>
  <c r="BC11" i="1"/>
  <c r="BD11" i="1" s="1"/>
  <c r="BC12" i="1"/>
  <c r="BD12" i="1" s="1"/>
  <c r="BC13" i="1"/>
  <c r="BD13" i="1" s="1"/>
  <c r="BC14" i="1"/>
  <c r="BD14" i="1" s="1"/>
  <c r="BC15" i="1"/>
  <c r="BD15" i="1" s="1"/>
  <c r="BC16" i="1"/>
  <c r="BD16" i="1" s="1"/>
  <c r="BB10" i="1"/>
  <c r="BB11" i="1"/>
  <c r="BB12" i="1"/>
  <c r="BB13" i="1"/>
  <c r="BB14" i="1"/>
  <c r="BB15" i="1"/>
  <c r="BB16" i="1"/>
  <c r="BC9" i="1"/>
  <c r="BD9" i="1" s="1"/>
  <c r="BB9" i="1"/>
  <c r="AA4" i="1"/>
  <c r="J5" i="5"/>
  <c r="J4" i="5"/>
  <c r="J3" i="5"/>
  <c r="J2" i="5"/>
  <c r="J1" i="5"/>
  <c r="D16" i="6"/>
  <c r="D15" i="6"/>
  <c r="Q10" i="5"/>
  <c r="Q11" i="5"/>
  <c r="Q12" i="5"/>
  <c r="Q13" i="5"/>
  <c r="Q14" i="5"/>
  <c r="Q15" i="5"/>
  <c r="Q16" i="5"/>
  <c r="Q17" i="5"/>
  <c r="Q18" i="5"/>
  <c r="Q19" i="5"/>
  <c r="Q20" i="5"/>
  <c r="B2" i="4"/>
  <c r="AB11" i="4" s="1"/>
  <c r="C2" i="4"/>
  <c r="D2" i="4"/>
  <c r="E2" i="4"/>
  <c r="F2" i="4"/>
  <c r="G2" i="4"/>
  <c r="H2" i="4"/>
  <c r="I2" i="4"/>
  <c r="J2" i="4"/>
  <c r="K2" i="4"/>
  <c r="L2" i="4"/>
  <c r="Z3" i="4"/>
  <c r="Z4" i="4"/>
  <c r="T5" i="4"/>
  <c r="Z5" i="4"/>
  <c r="AA5" i="4" s="1"/>
  <c r="Z6" i="4"/>
  <c r="AA6" i="4" s="1"/>
  <c r="Z7" i="4"/>
  <c r="AA7" i="4" s="1"/>
  <c r="Z8" i="4"/>
  <c r="AA8" i="4" s="1"/>
  <c r="T10" i="4"/>
  <c r="P9" i="4" s="1"/>
  <c r="P22" i="4"/>
  <c r="P30" i="4"/>
  <c r="AY10" i="1"/>
  <c r="AY11" i="1"/>
  <c r="AY12" i="1"/>
  <c r="AY13" i="1"/>
  <c r="AY14" i="1"/>
  <c r="AY15" i="1"/>
  <c r="AY16" i="1"/>
  <c r="AY9" i="1"/>
  <c r="AX10" i="1"/>
  <c r="AX11" i="1"/>
  <c r="AX12" i="1"/>
  <c r="AX13" i="1"/>
  <c r="AX14" i="1"/>
  <c r="AX15" i="1"/>
  <c r="AX16" i="1"/>
  <c r="AX9" i="1"/>
  <c r="AV10" i="1"/>
  <c r="AW10" i="1"/>
  <c r="AV11" i="1"/>
  <c r="AW11" i="1"/>
  <c r="AV12" i="1"/>
  <c r="AW12" i="1"/>
  <c r="AV13" i="1"/>
  <c r="AW13" i="1"/>
  <c r="AV14" i="1"/>
  <c r="AW14" i="1"/>
  <c r="AV15" i="1"/>
  <c r="AW15" i="1"/>
  <c r="AV16" i="1"/>
  <c r="AW16" i="1"/>
  <c r="AW9" i="1"/>
  <c r="AV9" i="1"/>
  <c r="AA10" i="1"/>
  <c r="AA11" i="1"/>
  <c r="AA13" i="1"/>
  <c r="AA14" i="1"/>
  <c r="AA15" i="1"/>
  <c r="AA16" i="1"/>
  <c r="AA21" i="1"/>
  <c r="AA22" i="1"/>
  <c r="AA23" i="1"/>
  <c r="P31" i="4"/>
  <c r="P19" i="4"/>
  <c r="P14" i="4"/>
  <c r="P13" i="4"/>
  <c r="P6" i="4"/>
  <c r="BM12" i="1" l="1"/>
  <c r="BN12" i="1" s="1"/>
  <c r="BM15" i="1"/>
  <c r="BN15" i="1" s="1"/>
  <c r="BM16" i="1"/>
  <c r="BN16" i="1" s="1"/>
  <c r="BM11" i="1"/>
  <c r="BN11" i="1" s="1"/>
  <c r="P23" i="4"/>
  <c r="P17" i="4"/>
  <c r="P27" i="4"/>
  <c r="P4" i="4"/>
  <c r="BM14" i="1"/>
  <c r="BN14" i="1" s="1"/>
  <c r="P5" i="4"/>
  <c r="P11" i="4"/>
  <c r="Q3" i="5"/>
  <c r="P28" i="4"/>
  <c r="P15" i="4"/>
  <c r="P24" i="4"/>
  <c r="BM13" i="1"/>
  <c r="BN13" i="1" s="1"/>
  <c r="BV14" i="1"/>
  <c r="BW14" i="1" s="1"/>
  <c r="BX14" i="1" s="1"/>
  <c r="BV16" i="1"/>
  <c r="BW16" i="1" s="1"/>
  <c r="BX16" i="1" s="1"/>
  <c r="BV15" i="1"/>
  <c r="BW15" i="1" s="1"/>
  <c r="BX15" i="1" s="1"/>
  <c r="BV9" i="1"/>
  <c r="BW9" i="1" s="1"/>
  <c r="BX9" i="1" s="1"/>
  <c r="BV13" i="1"/>
  <c r="BW13" i="1" s="1"/>
  <c r="BX13" i="1" s="1"/>
  <c r="BV11" i="1"/>
  <c r="BW11" i="1" s="1"/>
  <c r="BX11" i="1" s="1"/>
  <c r="P29" i="4"/>
  <c r="P18" i="4"/>
  <c r="BM9" i="1"/>
  <c r="BN9" i="1" s="1"/>
  <c r="BM10" i="1"/>
  <c r="BN10" i="1" s="1"/>
  <c r="AA3" i="1"/>
  <c r="BV12" i="1"/>
  <c r="BW12" i="1" s="1"/>
  <c r="BX12" i="1" s="1"/>
  <c r="BV10" i="1"/>
  <c r="BW10" i="1" s="1"/>
  <c r="BX10" i="1" s="1"/>
  <c r="P7" i="4"/>
  <c r="P3" i="4"/>
  <c r="L3" i="4" s="1"/>
  <c r="J3" i="4"/>
  <c r="J4" i="4" s="1"/>
  <c r="E18" i="5" s="1"/>
  <c r="P26" i="4"/>
  <c r="P21" i="4"/>
  <c r="P16" i="4"/>
  <c r="P10" i="4"/>
  <c r="P8" i="4"/>
  <c r="P25" i="4"/>
  <c r="P20" i="4"/>
  <c r="P12" i="4"/>
  <c r="C3" i="4" l="1"/>
  <c r="I3" i="4"/>
  <c r="L8" i="4"/>
  <c r="L4" i="4"/>
  <c r="E20" i="5" s="1"/>
  <c r="F3" i="4"/>
  <c r="E3" i="4"/>
  <c r="J8" i="4"/>
  <c r="D3" i="4"/>
  <c r="G3" i="4"/>
  <c r="C8" i="4"/>
  <c r="C4" i="4"/>
  <c r="E11" i="5" s="1"/>
  <c r="I8" i="4"/>
  <c r="I4" i="4"/>
  <c r="E17" i="5" s="1"/>
  <c r="K3" i="4"/>
  <c r="B3" i="4"/>
  <c r="H3" i="4"/>
  <c r="K4" i="4" l="1"/>
  <c r="E19" i="5" s="1"/>
  <c r="K8" i="4"/>
  <c r="C9" i="4"/>
  <c r="C10" i="4" s="1"/>
  <c r="E8" i="4"/>
  <c r="E4" i="4"/>
  <c r="E13" i="5" s="1"/>
  <c r="G8" i="4"/>
  <c r="G4" i="4"/>
  <c r="E15" i="5" s="1"/>
  <c r="F8" i="4"/>
  <c r="F4" i="4"/>
  <c r="E14" i="5" s="1"/>
  <c r="H8" i="4"/>
  <c r="H4" i="4"/>
  <c r="E16" i="5" s="1"/>
  <c r="I9" i="4"/>
  <c r="I10" i="4" s="1"/>
  <c r="D8" i="4"/>
  <c r="D4" i="4"/>
  <c r="E12" i="5" s="1"/>
  <c r="B4" i="4"/>
  <c r="B8" i="4"/>
  <c r="J9" i="4"/>
  <c r="J10" i="4" s="1"/>
  <c r="L9" i="4"/>
  <c r="J15" i="4" l="1"/>
  <c r="J12" i="4"/>
  <c r="C15" i="4"/>
  <c r="C12" i="4"/>
  <c r="J14" i="4"/>
  <c r="J11" i="4"/>
  <c r="F18" i="5" s="1"/>
  <c r="D9" i="4"/>
  <c r="H9" i="4"/>
  <c r="H10" i="4" s="1"/>
  <c r="G9" i="4"/>
  <c r="G10" i="4" s="1"/>
  <c r="C14" i="4"/>
  <c r="C11" i="4"/>
  <c r="F11" i="5" s="1"/>
  <c r="L14" i="4"/>
  <c r="L11" i="4"/>
  <c r="F20" i="5" s="1"/>
  <c r="B9" i="4"/>
  <c r="B10" i="4" s="1"/>
  <c r="I12" i="4"/>
  <c r="I15" i="4"/>
  <c r="K9" i="4"/>
  <c r="K10" i="4" s="1"/>
  <c r="L10" i="4"/>
  <c r="Y3" i="4"/>
  <c r="E10" i="5"/>
  <c r="I14" i="4"/>
  <c r="I11" i="4"/>
  <c r="F17" i="5" s="1"/>
  <c r="F9" i="4"/>
  <c r="F10" i="4" s="1"/>
  <c r="E9" i="4"/>
  <c r="H15" i="4" l="1"/>
  <c r="H12" i="4"/>
  <c r="K12" i="4"/>
  <c r="K15" i="4"/>
  <c r="B12" i="4"/>
  <c r="Z10" i="4"/>
  <c r="AA10" i="4" s="1"/>
  <c r="B15" i="4"/>
  <c r="AA3" i="4"/>
  <c r="AA11" i="4" s="1"/>
  <c r="AC11" i="4" s="1"/>
  <c r="Y4" i="4"/>
  <c r="AA4" i="4" s="1"/>
  <c r="G15" i="4"/>
  <c r="G12" i="4"/>
  <c r="D11" i="4"/>
  <c r="F12" i="5" s="1"/>
  <c r="D14" i="4"/>
  <c r="E11" i="4"/>
  <c r="F13" i="5" s="1"/>
  <c r="E14" i="4"/>
  <c r="L12" i="4"/>
  <c r="L15" i="4"/>
  <c r="G14" i="4"/>
  <c r="G11" i="4"/>
  <c r="F15" i="5" s="1"/>
  <c r="D10" i="4"/>
  <c r="E10" i="4"/>
  <c r="F15" i="4"/>
  <c r="F12" i="4"/>
  <c r="F14" i="4"/>
  <c r="F11" i="4"/>
  <c r="F14" i="5" s="1"/>
  <c r="K11" i="4"/>
  <c r="F19" i="5" s="1"/>
  <c r="K14" i="4"/>
  <c r="Z9" i="4"/>
  <c r="AA9" i="4" s="1"/>
  <c r="B14" i="4"/>
  <c r="B11" i="4"/>
  <c r="F10" i="5" s="1"/>
  <c r="H11" i="4"/>
  <c r="F16" i="5" s="1"/>
  <c r="H14" i="4"/>
  <c r="D15" i="4" l="1"/>
  <c r="D12" i="4"/>
  <c r="E15" i="4"/>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3" authorId="0" shapeId="0" xr:uid="{00000000-0006-0000-0100-000001000000}">
      <text>
        <r>
          <rPr>
            <sz val="8"/>
            <color indexed="81"/>
            <rFont val="Tahoma"/>
            <family val="2"/>
          </rPr>
          <t>The</t>
        </r>
        <r>
          <rPr>
            <i/>
            <sz val="8"/>
            <color indexed="81"/>
            <rFont val="Tahoma"/>
            <family val="2"/>
          </rPr>
          <t xml:space="preserve"> Store Name</t>
        </r>
        <r>
          <rPr>
            <sz val="8"/>
            <color indexed="81"/>
            <rFont val="Tahoma"/>
            <family val="2"/>
          </rPr>
          <t xml:space="preserve"> List Can Be Populated 
When Entered On 
The</t>
        </r>
        <r>
          <rPr>
            <i/>
            <sz val="8"/>
            <color indexed="81"/>
            <rFont val="Tahoma"/>
            <family val="2"/>
          </rPr>
          <t xml:space="preserve"> Stores &amp; Delivery Addresses</t>
        </r>
        <r>
          <rPr>
            <sz val="8"/>
            <color indexed="81"/>
            <rFont val="Tahoma"/>
            <family val="2"/>
          </rPr>
          <t xml:space="preserve"> Tab.</t>
        </r>
      </text>
    </comment>
    <comment ref="D4" authorId="0" shapeId="0" xr:uid="{00000000-0006-0000-0100-000002000000}">
      <text>
        <r>
          <rPr>
            <sz val="8"/>
            <color indexed="81"/>
            <rFont val="Tahoma"/>
            <family val="2"/>
          </rPr>
          <t xml:space="preserve">The </t>
        </r>
        <r>
          <rPr>
            <i/>
            <sz val="8"/>
            <color indexed="81"/>
            <rFont val="Tahoma"/>
            <family val="2"/>
          </rPr>
          <t>Delivery Address</t>
        </r>
        <r>
          <rPr>
            <sz val="8"/>
            <color indexed="81"/>
            <rFont val="Tahoma"/>
            <family val="2"/>
          </rPr>
          <t xml:space="preserve"> List Can Be Populated 
When Entered On 
The </t>
        </r>
        <r>
          <rPr>
            <i/>
            <sz val="8"/>
            <color indexed="81"/>
            <rFont val="Tahoma"/>
            <family val="2"/>
          </rPr>
          <t>Stores &amp; Delivery Addresses</t>
        </r>
        <r>
          <rPr>
            <sz val="8"/>
            <color indexed="81"/>
            <rFont val="Tahoma"/>
            <family val="2"/>
          </rPr>
          <t xml:space="preserv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AA1" authorId="0" shapeId="0" xr:uid="{00000000-0006-0000-0200-000001000000}">
      <text>
        <r>
          <rPr>
            <sz val="8"/>
            <color indexed="81"/>
            <rFont val="Tahoma"/>
            <family val="2"/>
          </rPr>
          <t>Please enter the number of Pages 
in this Order.
e.g.  Page: 1 Of 2</t>
        </r>
      </text>
    </comment>
    <comment ref="C8" authorId="0" shapeId="0" xr:uid="{26180F25-AAAE-4DD7-8658-E339A5691C00}">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8" authorId="0" shapeId="0" xr:uid="{F498759E-6608-4620-9182-5132E026B95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8" authorId="0" shapeId="0" xr:uid="{4C2C771A-8F0C-49B1-A6F8-D8AD0B568B6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8" authorId="0" shapeId="0" xr:uid="{AEB88B05-D096-453C-BB40-B9252483CAC6}">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8" authorId="0" shapeId="0" xr:uid="{C68081D9-3317-4994-9314-AC50809046BB}">
      <text>
        <r>
          <rPr>
            <sz val="8"/>
            <color indexed="81"/>
            <rFont val="Tahoma"/>
            <family val="2"/>
          </rPr>
          <t>The Blade sizes options are;
Eco Aluminium External Standard &amp; 
Eco Aluminium External Privacy Screen;
63mm
89mm
114mm
Eco Aluminium External Lite;
89mm</t>
        </r>
      </text>
    </comment>
    <comment ref="H8" authorId="0" shapeId="0" xr:uid="{4DDC21A8-8F80-4524-A701-3A0042092D2E}">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8" authorId="0" shapeId="0" xr:uid="{0732D4A1-783A-494F-9393-35AC17D4F7BE}">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8" authorId="0" shapeId="0" xr:uid="{CDE1E712-54B9-4C6C-A5A2-C9A0857B17C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8" authorId="0" shapeId="0" xr:uid="{9A418FEE-2C7C-42D1-B127-15E839F9742B}">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8" authorId="0" shapeId="0" xr:uid="{B404AF73-46AC-4C77-B23B-A55DA959359A}">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8" authorId="0" shapeId="0" xr:uid="{E28249B3-CAB8-4A6A-98B2-8B06EB24C047}">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8" authorId="0" shapeId="0" xr:uid="{EEFF8922-8E83-4D51-B1AB-717F4D563454}">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8" authorId="0" shapeId="0" xr:uid="{73781144-3164-4715-86BF-A5E76D4CE5CD}">
      <text>
        <r>
          <rPr>
            <sz val="8"/>
            <color indexed="81"/>
            <rFont val="Tahoma"/>
            <family val="2"/>
          </rPr>
          <t>The Frame Type is dependant on
 Mounting Method.</t>
        </r>
      </text>
    </comment>
    <comment ref="P8" authorId="0" shapeId="0" xr:uid="{48064879-9094-4A37-9F81-B04381BA3BB9}">
      <text>
        <r>
          <rPr>
            <sz val="8"/>
            <color indexed="81"/>
            <rFont val="Tahoma"/>
            <family val="2"/>
          </rPr>
          <t>Side Boards/Headboards for 
Track Bi Fold or Sliding 
incur an additional charge.</t>
        </r>
      </text>
    </comment>
    <comment ref="Q8" authorId="0" shapeId="0" xr:uid="{19765F14-721D-4358-8B3B-F297016CFB10}">
      <text>
        <r>
          <rPr>
            <sz val="8"/>
            <color indexed="81"/>
            <rFont val="Tahoma"/>
            <family val="2"/>
          </rPr>
          <t>Side Boards/Headboards for 
Track Bi Fold or Sliding 
incur an additional charge.</t>
        </r>
      </text>
    </comment>
    <comment ref="R8" authorId="0" shapeId="0" xr:uid="{E22DDD4B-3E17-4DA6-8F43-70BFEC74F218}">
      <text>
        <r>
          <rPr>
            <sz val="8"/>
            <color indexed="81"/>
            <rFont val="Tahoma"/>
            <family val="2"/>
          </rPr>
          <t>For Sliding, a 
Top Slide Channel 
will be suppplied.
Side Boards/Headboards for 
Track Bi Fold or Sliding 
incur an additional charge.</t>
        </r>
      </text>
    </comment>
    <comment ref="S8" authorId="0" shapeId="0" xr:uid="{41B27770-4E03-4148-85A2-36463EF3CF64}">
      <text>
        <r>
          <rPr>
            <sz val="8"/>
            <color indexed="81"/>
            <rFont val="Tahoma"/>
            <family val="2"/>
          </rPr>
          <t>For Sliding, a 
Bottom Slide Channel 
will be suppplied.
Side Boards/Headboards for 
Track Bi Fold or Sliding 
incur an additional charge.</t>
        </r>
      </text>
    </comment>
    <comment ref="T8" authorId="0" shapeId="0" xr:uid="{24EA761E-2934-4981-B128-3DEB620DA262}">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8" authorId="0" shapeId="0" xr:uid="{8011517A-4DA8-45AC-A528-507DE291FC7A}">
      <text>
        <r>
          <rPr>
            <sz val="8"/>
            <color indexed="81"/>
            <rFont val="Tahoma"/>
            <family val="2"/>
          </rPr>
          <t>The Tiltrod Type 
options are;
For 
Eco Aluminium External Standard
&amp; Eco Aluminium External Lite;
Hidden Back
Hidden Front
For 
Eco Aluminium External Privacy Screen
N/A</t>
        </r>
      </text>
    </comment>
    <comment ref="Y8" authorId="0" shapeId="0" xr:uid="{9BBB5FC5-0007-49F3-85EE-595D61E04966}">
      <text>
        <r>
          <rPr>
            <sz val="8"/>
            <color indexed="81"/>
            <rFont val="Tahoma"/>
            <family val="2"/>
          </rPr>
          <t>The Flush Bolt 
options are;
For Hinged, Pivot Hinged, Sliding &amp; Track Bi Fold;
No
Silver
White
For Fixed;
N/A
For MS;
N/A</t>
        </r>
      </text>
    </comment>
    <comment ref="Z8" authorId="0" shapeId="0" xr:uid="{3F9F54A8-39C8-4C81-BC57-97E343D89092}">
      <text>
        <r>
          <rPr>
            <sz val="8"/>
            <color indexed="81"/>
            <rFont val="Tahoma"/>
            <family val="2"/>
          </rPr>
          <t>The Flush Bolt 
Location options are;
Hinged &amp; Pivot Hinged;
Bottom
Top
Bottom &amp; Top
Sliding &amp; Track Bi Fold;
Bottom</t>
        </r>
      </text>
    </comment>
    <comment ref="C9" authorId="0" shapeId="0" xr:uid="{DEAECF84-AE6A-4ADA-8B94-00E564A86855}">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9" authorId="0" shapeId="0" xr:uid="{E71329C2-F7D3-4D6E-A30C-798D9CAC9EF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9" authorId="0" shapeId="0" xr:uid="{15CC29C9-7AAF-47AE-9378-4529DD4A567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9" authorId="0" shapeId="0" xr:uid="{A7ADC462-AE82-4757-8ACC-823087A70358}">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9" authorId="0" shapeId="0" xr:uid="{1637AD1B-4F1C-4DE4-AC7B-0F347A5AFA8F}">
      <text>
        <r>
          <rPr>
            <sz val="8"/>
            <color indexed="81"/>
            <rFont val="Tahoma"/>
            <family val="2"/>
          </rPr>
          <t>The Blade sizes options are;
Eco Aluminium External Standard &amp; 
Eco Aluminium External Privacy Screen;
63mm
89mm
114mm
Eco Aluminium External Lite;
89mm</t>
        </r>
      </text>
    </comment>
    <comment ref="H9" authorId="0" shapeId="0" xr:uid="{C7654266-3A74-4D97-933C-E53272D77721}">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9" authorId="0" shapeId="0" xr:uid="{E8FD6BD1-DC66-40DA-A22E-7C60A56B3126}">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9" authorId="0" shapeId="0" xr:uid="{31EC93A8-AF3F-4580-A1D2-A6DE4462C02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9" authorId="0" shapeId="0" xr:uid="{1ADB5F08-D891-4A99-9F99-F68A397F6AF1}">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9" authorId="0" shapeId="0" xr:uid="{7EF0247D-D6D4-4D62-A253-2A7927AE8787}">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9" authorId="0" shapeId="0" xr:uid="{37A99FE5-D326-4163-B644-0B723E6F6866}">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9" authorId="0" shapeId="0" xr:uid="{698A6C46-E6DE-4BA1-8BBF-C9739C1E7A5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9" authorId="0" shapeId="0" xr:uid="{A2A0776E-B53C-4AE6-A2BE-B5DF1CB963CB}">
      <text>
        <r>
          <rPr>
            <sz val="8"/>
            <color indexed="81"/>
            <rFont val="Tahoma"/>
            <family val="2"/>
          </rPr>
          <t>The Frame Type is dependant on
 Mounting Method.</t>
        </r>
      </text>
    </comment>
    <comment ref="P9" authorId="0" shapeId="0" xr:uid="{1CCD2989-3668-48ED-A42E-4723E0507A61}">
      <text>
        <r>
          <rPr>
            <sz val="8"/>
            <color indexed="81"/>
            <rFont val="Tahoma"/>
            <family val="2"/>
          </rPr>
          <t>Side Boards/Headboards for 
Track Bi Fold or Sliding 
incur an additional charge.</t>
        </r>
      </text>
    </comment>
    <comment ref="Q9" authorId="0" shapeId="0" xr:uid="{FF6BE59F-E846-43F4-9822-710263EBE970}">
      <text>
        <r>
          <rPr>
            <sz val="8"/>
            <color indexed="81"/>
            <rFont val="Tahoma"/>
            <family val="2"/>
          </rPr>
          <t>Side Boards/Headboards for 
Track Bi Fold or Sliding 
incur an additional charge.</t>
        </r>
      </text>
    </comment>
    <comment ref="R9" authorId="0" shapeId="0" xr:uid="{6B48EF67-4425-4D74-B4BF-2B6B2637D839}">
      <text>
        <r>
          <rPr>
            <sz val="8"/>
            <color indexed="81"/>
            <rFont val="Tahoma"/>
            <family val="2"/>
          </rPr>
          <t>For Sliding, a 
Top Slide Channel 
will be suppplied.
Side Boards/Headboards for 
Track Bi Fold or Sliding 
incur an additional charge.</t>
        </r>
      </text>
    </comment>
    <comment ref="S9" authorId="0" shapeId="0" xr:uid="{E0D14EC7-AAD9-429F-A1F3-CE9214D74166}">
      <text>
        <r>
          <rPr>
            <sz val="8"/>
            <color indexed="81"/>
            <rFont val="Tahoma"/>
            <family val="2"/>
          </rPr>
          <t>For Sliding, a 
Bottom Slide Channel 
will be suppplied.
Side Boards/Headboards for 
Track Bi Fold or Sliding 
incur an additional charge.</t>
        </r>
      </text>
    </comment>
    <comment ref="T9" authorId="0" shapeId="0" xr:uid="{9658F0AB-9768-4DC0-AE3C-706CDBC13676}">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9" authorId="0" shapeId="0" xr:uid="{7B73986E-8459-4A7F-9CD7-28DC7E679724}">
      <text>
        <r>
          <rPr>
            <sz val="8"/>
            <color indexed="81"/>
            <rFont val="Tahoma"/>
            <family val="2"/>
          </rPr>
          <t>The Tiltrod Type 
options are;
For 
Eco Aluminium External Standard
&amp; Eco Aluminium External Lite;
Hidden Back
Hidden Front
For 
Eco Aluminium External Privacy Screen
N/A</t>
        </r>
      </text>
    </comment>
    <comment ref="Y9" authorId="0" shapeId="0" xr:uid="{FCC3D95C-D479-41D2-A69A-EA5A62F23910}">
      <text>
        <r>
          <rPr>
            <sz val="8"/>
            <color indexed="81"/>
            <rFont val="Tahoma"/>
            <family val="2"/>
          </rPr>
          <t>The Flush Bolt 
options are;
For Hinged, Pivot Hinged, Sliding &amp; Track Bi Fold;
No
Silver
White
For Fixed;
N/A
For MS;
N/A</t>
        </r>
      </text>
    </comment>
    <comment ref="Z9" authorId="0" shapeId="0" xr:uid="{015C9F99-5877-42DA-AF0B-80245375E38F}">
      <text>
        <r>
          <rPr>
            <sz val="8"/>
            <color indexed="81"/>
            <rFont val="Tahoma"/>
            <family val="2"/>
          </rPr>
          <t>The Flush Bolt 
Location options are;
Hinged &amp; Pivot Hinged;
Bottom
Top
Bottom &amp; Top
Sliding &amp; Track Bi Fold;
Bottom</t>
        </r>
      </text>
    </comment>
    <comment ref="C10" authorId="0" shapeId="0" xr:uid="{51D69149-509B-443A-B424-E46EE72CE8E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0" authorId="0" shapeId="0" xr:uid="{1FB67D35-4B5C-4BFE-BD3A-C5A20BD896B4}">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0" authorId="0" shapeId="0" xr:uid="{92519231-D548-4106-8F4C-AD44914B8B65}">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0" authorId="0" shapeId="0" xr:uid="{ED9DADD3-6BB0-4CCA-B757-F856FA5DED7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0" authorId="0" shapeId="0" xr:uid="{47F5C9ED-92EF-45D0-8155-394E4BD1346D}">
      <text>
        <r>
          <rPr>
            <sz val="8"/>
            <color indexed="81"/>
            <rFont val="Tahoma"/>
            <family val="2"/>
          </rPr>
          <t>The Blade sizes options are;
Eco Aluminium External Standard &amp; 
Eco Aluminium External Privacy Screen;
63mm
89mm
114mm
Eco Aluminium External Lite;
89mm</t>
        </r>
      </text>
    </comment>
    <comment ref="H10" authorId="0" shapeId="0" xr:uid="{B287C5F3-4AAB-4577-91BA-15123BEB62CC}">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0" authorId="0" shapeId="0" xr:uid="{BC9A9FE9-4720-4843-826E-83389149DD3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0" authorId="0" shapeId="0" xr:uid="{AFB56A17-E02D-42D0-B11E-8655CEBCC775}">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0" authorId="0" shapeId="0" xr:uid="{490B1950-8838-45F8-84D9-657783334ACD}">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0" authorId="0" shapeId="0" xr:uid="{58F804EE-67A5-4077-B0C7-8D76F250CD22}">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0" authorId="0" shapeId="0" xr:uid="{3350B7D8-F9D4-4E04-B560-347B9C607E9D}">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0" authorId="0" shapeId="0" xr:uid="{38C341F0-339A-4F20-A6B2-CAEF75D20760}">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0" authorId="0" shapeId="0" xr:uid="{EE667814-8D1C-4F4A-8501-B3D4CDDA780A}">
      <text>
        <r>
          <rPr>
            <sz val="8"/>
            <color indexed="81"/>
            <rFont val="Tahoma"/>
            <family val="2"/>
          </rPr>
          <t>The Frame Type is dependant on
 Mounting Method.</t>
        </r>
      </text>
    </comment>
    <comment ref="P10" authorId="0" shapeId="0" xr:uid="{268C544C-FEA8-49FA-AB96-4A38A8CC9032}">
      <text>
        <r>
          <rPr>
            <sz val="8"/>
            <color indexed="81"/>
            <rFont val="Tahoma"/>
            <family val="2"/>
          </rPr>
          <t>Side Boards/Headboards for 
Track Bi Fold or Sliding 
incur an additional charge.</t>
        </r>
      </text>
    </comment>
    <comment ref="Q10" authorId="0" shapeId="0" xr:uid="{59DF6850-E9E6-4E9E-883C-C4FE9334FD66}">
      <text>
        <r>
          <rPr>
            <sz val="8"/>
            <color indexed="81"/>
            <rFont val="Tahoma"/>
            <family val="2"/>
          </rPr>
          <t>Side Boards/Headboards for 
Track Bi Fold or Sliding 
incur an additional charge.</t>
        </r>
      </text>
    </comment>
    <comment ref="R10" authorId="0" shapeId="0" xr:uid="{7CBBFFB8-3A70-4C54-AE1C-9D14AE5DCB0B}">
      <text>
        <r>
          <rPr>
            <sz val="8"/>
            <color indexed="81"/>
            <rFont val="Tahoma"/>
            <family val="2"/>
          </rPr>
          <t>For Sliding, a 
Top Slide Channel 
will be suppplied.
Side Boards/Headboards for 
Track Bi Fold or Sliding 
incur an additional charge.</t>
        </r>
      </text>
    </comment>
    <comment ref="S10" authorId="0" shapeId="0" xr:uid="{D1B16739-C23E-4DA0-B80C-0FBF0DEBF9EA}">
      <text>
        <r>
          <rPr>
            <sz val="8"/>
            <color indexed="81"/>
            <rFont val="Tahoma"/>
            <family val="2"/>
          </rPr>
          <t>For Sliding, a 
Bottom Slide Channel 
will be suppplied.
Side Boards/Headboards for 
Track Bi Fold or Sliding 
incur an additional charge.</t>
        </r>
      </text>
    </comment>
    <comment ref="T10" authorId="0" shapeId="0" xr:uid="{D4F59C85-39AE-49B2-BA4B-C6686113FAB2}">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0" authorId="0" shapeId="0" xr:uid="{FC728A64-62B9-4077-BE20-512C504BD366}">
      <text>
        <r>
          <rPr>
            <sz val="8"/>
            <color indexed="81"/>
            <rFont val="Tahoma"/>
            <family val="2"/>
          </rPr>
          <t>The Tiltrod Type 
options are;
For 
Eco Aluminium External Standard
&amp; Eco Aluminium External Lite;
Hidden Back
Hidden Front
For 
Eco Aluminium External Privacy Screen
N/A</t>
        </r>
      </text>
    </comment>
    <comment ref="Y10" authorId="0" shapeId="0" xr:uid="{09BD70DD-7098-43E4-9D64-7FA5662DE6C2}">
      <text>
        <r>
          <rPr>
            <sz val="8"/>
            <color indexed="81"/>
            <rFont val="Tahoma"/>
            <family val="2"/>
          </rPr>
          <t>The Flush Bolt 
options are;
For Hinged, Pivot Hinged, Sliding &amp; Track Bi Fold;
No
Silver
White
For Fixed;
N/A
For MS;
N/A</t>
        </r>
      </text>
    </comment>
    <comment ref="Z10" authorId="0" shapeId="0" xr:uid="{031EB872-802F-43DE-BE90-438836D496DD}">
      <text>
        <r>
          <rPr>
            <sz val="8"/>
            <color indexed="81"/>
            <rFont val="Tahoma"/>
            <family val="2"/>
          </rPr>
          <t>The Flush Bolt 
Location options are;
Hinged &amp; Pivot Hinged;
Bottom
Top
Bottom &amp; Top
Sliding &amp; Track Bi Fold;
Bottom</t>
        </r>
      </text>
    </comment>
    <comment ref="C11" authorId="0" shapeId="0" xr:uid="{A4B83EA5-D811-4CD3-B65C-65DC319C4AE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1" authorId="0" shapeId="0" xr:uid="{082DE7E9-4080-4E50-8120-63254E1B9AD9}">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1" authorId="0" shapeId="0" xr:uid="{B7E3A4A1-BA1A-4CCA-940C-47392496386D}">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1" authorId="0" shapeId="0" xr:uid="{C9B0A79E-5A57-4A42-8738-3995BD6E7DE1}">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1" authorId="0" shapeId="0" xr:uid="{7F3BEE76-D533-4A61-B4D9-F5B8E4D69F49}">
      <text>
        <r>
          <rPr>
            <sz val="8"/>
            <color indexed="81"/>
            <rFont val="Tahoma"/>
            <family val="2"/>
          </rPr>
          <t>The Blade sizes options are;
Eco Aluminium External Standard &amp; 
Eco Aluminium External Privacy Screen;
63mm
89mm
114mm
Eco Aluminium External Lite;
89mm</t>
        </r>
      </text>
    </comment>
    <comment ref="H11" authorId="0" shapeId="0" xr:uid="{1D87B8B4-3262-4A34-A0D1-DDFC00CF5FE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1" authorId="0" shapeId="0" xr:uid="{B6CA4104-455B-45D9-96D3-E61364BFC37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1" authorId="0" shapeId="0" xr:uid="{630540CE-14AF-4748-9235-78D7E7FE4AB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1" authorId="0" shapeId="0" xr:uid="{FC702803-BABA-4ECE-9FC6-579F62A02035}">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1" authorId="0" shapeId="0" xr:uid="{901B9ED3-4733-4258-9233-55FE169AC087}">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1" authorId="0" shapeId="0" xr:uid="{3CFDD7F6-5E5C-44A1-8056-428ECE559E9E}">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1" authorId="0" shapeId="0" xr:uid="{7643A2BB-500F-4F9E-A44F-E5B46BDADE2B}">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1" authorId="0" shapeId="0" xr:uid="{7E3D4FA1-0143-457C-B53E-A90F67C1DE10}">
      <text>
        <r>
          <rPr>
            <sz val="8"/>
            <color indexed="81"/>
            <rFont val="Tahoma"/>
            <family val="2"/>
          </rPr>
          <t>The Frame Type is dependant on
 Mounting Method.</t>
        </r>
      </text>
    </comment>
    <comment ref="P11" authorId="0" shapeId="0" xr:uid="{6153BD08-43AB-4211-AFDF-F212A5368615}">
      <text>
        <r>
          <rPr>
            <sz val="8"/>
            <color indexed="81"/>
            <rFont val="Tahoma"/>
            <family val="2"/>
          </rPr>
          <t>Side Boards/Headboards for 
Track Bi Fold or Sliding 
incur an additional charge.</t>
        </r>
      </text>
    </comment>
    <comment ref="Q11" authorId="0" shapeId="0" xr:uid="{1D50A10A-6A9A-4147-B526-D6DEFD2F5A92}">
      <text>
        <r>
          <rPr>
            <sz val="8"/>
            <color indexed="81"/>
            <rFont val="Tahoma"/>
            <family val="2"/>
          </rPr>
          <t>Side Boards/Headboards for 
Track Bi Fold or Sliding 
incur an additional charge.</t>
        </r>
      </text>
    </comment>
    <comment ref="R11" authorId="0" shapeId="0" xr:uid="{14DBDB43-A128-4C14-8781-6CA73282F598}">
      <text>
        <r>
          <rPr>
            <sz val="8"/>
            <color indexed="81"/>
            <rFont val="Tahoma"/>
            <family val="2"/>
          </rPr>
          <t>For Sliding, a 
Top Slide Channel 
will be suppplied.
Side Boards/Headboards for 
Track Bi Fold or Sliding 
incur an additional charge.</t>
        </r>
      </text>
    </comment>
    <comment ref="S11" authorId="0" shapeId="0" xr:uid="{8A47D30C-B5AB-480F-8A5F-7115AACD38D8}">
      <text>
        <r>
          <rPr>
            <sz val="8"/>
            <color indexed="81"/>
            <rFont val="Tahoma"/>
            <family val="2"/>
          </rPr>
          <t>For Sliding, a 
Bottom Slide Channel 
will be suppplied.
Side Boards/Headboards for 
Track Bi Fold or Sliding 
incur an additional charge.</t>
        </r>
      </text>
    </comment>
    <comment ref="T11" authorId="0" shapeId="0" xr:uid="{9CA03620-5EC2-47BE-9F44-FEBBE4342585}">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1" authorId="0" shapeId="0" xr:uid="{A12A728B-84CC-4411-862C-7287A41B504E}">
      <text>
        <r>
          <rPr>
            <sz val="8"/>
            <color indexed="81"/>
            <rFont val="Tahoma"/>
            <family val="2"/>
          </rPr>
          <t>The Tiltrod Type 
options are;
For 
Eco Aluminium External Standard
&amp; Eco Aluminium External Lite;
Hidden Back
Hidden Front
For 
Eco Aluminium External Privacy Screen
N/A</t>
        </r>
      </text>
    </comment>
    <comment ref="Y11" authorId="0" shapeId="0" xr:uid="{95B58BBC-E464-41B4-97AF-35F1D2A64767}">
      <text>
        <r>
          <rPr>
            <sz val="8"/>
            <color indexed="81"/>
            <rFont val="Tahoma"/>
            <family val="2"/>
          </rPr>
          <t>The Flush Bolt 
options are;
For Hinged, Pivot Hinged, Sliding &amp; Track Bi Fold;
No
Silver
White
For Fixed;
N/A
For MS;
N/A</t>
        </r>
      </text>
    </comment>
    <comment ref="Z11" authorId="0" shapeId="0" xr:uid="{ADA19FEE-8439-47F2-80AA-365962A8FAAC}">
      <text>
        <r>
          <rPr>
            <sz val="8"/>
            <color indexed="81"/>
            <rFont val="Tahoma"/>
            <family val="2"/>
          </rPr>
          <t>The Flush Bolt 
Location options are;
Hinged &amp; Pivot Hinged;
Bottom
Top
Bottom &amp; Top
Sliding &amp; Track Bi Fold;
Bottom</t>
        </r>
      </text>
    </comment>
    <comment ref="C12" authorId="0" shapeId="0" xr:uid="{07CB4084-D477-4090-931C-510A60C43643}">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2" authorId="0" shapeId="0" xr:uid="{812CD583-93C2-4B33-9B0E-95938B13D600}">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2" authorId="0" shapeId="0" xr:uid="{39C32498-718C-49AB-A734-04D23AC62E9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2" authorId="0" shapeId="0" xr:uid="{A09C7222-05D9-4FC6-AEDC-2AD465B61BB4}">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2" authorId="0" shapeId="0" xr:uid="{B69C0891-A6AA-4311-A9A6-F307A5590FDE}">
      <text>
        <r>
          <rPr>
            <sz val="8"/>
            <color indexed="81"/>
            <rFont val="Tahoma"/>
            <family val="2"/>
          </rPr>
          <t>The Blade sizes options are;
Eco Aluminium External Standard &amp; 
Eco Aluminium External Privacy Screen;
63mm
89mm
114mm
Eco Aluminium External Lite;
89mm</t>
        </r>
      </text>
    </comment>
    <comment ref="H12" authorId="0" shapeId="0" xr:uid="{029E0233-B703-4E3B-9D0B-039E6DF226F8}">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2" authorId="0" shapeId="0" xr:uid="{21A049B3-6451-4BCD-93BB-DDF41789B394}">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2" authorId="0" shapeId="0" xr:uid="{748AA850-D1FB-4102-A3CC-BA7D81490C47}">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2" authorId="0" shapeId="0" xr:uid="{338BFE77-9FDE-4116-8391-F374D9446115}">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2" authorId="0" shapeId="0" xr:uid="{62B36E08-D438-4392-8ADF-16B725E4407B}">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2" authorId="0" shapeId="0" xr:uid="{8174A22D-2476-4BF0-994C-CB9BADEAC49D}">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2" authorId="0" shapeId="0" xr:uid="{6440F294-E7DB-4F0B-8DC9-43B7906F6873}">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2" authorId="0" shapeId="0" xr:uid="{0C555B6F-07C1-4F8F-A3E0-F15059905FAC}">
      <text>
        <r>
          <rPr>
            <sz val="8"/>
            <color indexed="81"/>
            <rFont val="Tahoma"/>
            <family val="2"/>
          </rPr>
          <t>The Frame Type is dependant on
 Mounting Method.</t>
        </r>
      </text>
    </comment>
    <comment ref="P12" authorId="0" shapeId="0" xr:uid="{60A15A7C-ECBB-46EF-A3D8-A767A1D57C8D}">
      <text>
        <r>
          <rPr>
            <sz val="8"/>
            <color indexed="81"/>
            <rFont val="Tahoma"/>
            <family val="2"/>
          </rPr>
          <t>Side Boards/Headboards for 
Track Bi Fold or Sliding 
incur an additional charge.</t>
        </r>
      </text>
    </comment>
    <comment ref="Q12" authorId="0" shapeId="0" xr:uid="{D084529B-6A93-4EC9-BC18-47FD6E077096}">
      <text>
        <r>
          <rPr>
            <sz val="8"/>
            <color indexed="81"/>
            <rFont val="Tahoma"/>
            <family val="2"/>
          </rPr>
          <t>Side Boards/Headboards for 
Track Bi Fold or Sliding 
incur an additional charge.</t>
        </r>
      </text>
    </comment>
    <comment ref="R12" authorId="0" shapeId="0" xr:uid="{03C15B9A-878D-4D3F-AC19-237D301CC6F6}">
      <text>
        <r>
          <rPr>
            <sz val="8"/>
            <color indexed="81"/>
            <rFont val="Tahoma"/>
            <family val="2"/>
          </rPr>
          <t>For Sliding, a 
Top Slide Channel 
will be suppplied.
Side Boards/Headboards for 
Track Bi Fold or Sliding 
incur an additional charge.</t>
        </r>
      </text>
    </comment>
    <comment ref="S12" authorId="0" shapeId="0" xr:uid="{B27B4C16-A58B-4746-A032-7373A919AF87}">
      <text>
        <r>
          <rPr>
            <sz val="8"/>
            <color indexed="81"/>
            <rFont val="Tahoma"/>
            <family val="2"/>
          </rPr>
          <t>For Sliding, a 
Bottom Slide Channel 
will be suppplied.
Side Boards/Headboards for 
Track Bi Fold or Sliding 
incur an additional charge.</t>
        </r>
      </text>
    </comment>
    <comment ref="T12" authorId="0" shapeId="0" xr:uid="{6C78732D-BDF1-4ACF-96BC-39C1A0B5DF6D}">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2" authorId="0" shapeId="0" xr:uid="{14E1C2DA-9626-40D5-A6AE-BE617E2E4B41}">
      <text>
        <r>
          <rPr>
            <sz val="8"/>
            <color indexed="81"/>
            <rFont val="Tahoma"/>
            <family val="2"/>
          </rPr>
          <t>The Tiltrod Type 
options are;
For 
Eco Aluminium External Standard
&amp; Eco Aluminium External Lite;
Hidden Back
Hidden Front
For 
Eco Aluminium External Privacy Screen
N/A</t>
        </r>
      </text>
    </comment>
    <comment ref="Y12" authorId="0" shapeId="0" xr:uid="{C6C361EB-C9A6-40DC-8F66-A0085FC0D16B}">
      <text>
        <r>
          <rPr>
            <sz val="8"/>
            <color indexed="81"/>
            <rFont val="Tahoma"/>
            <family val="2"/>
          </rPr>
          <t>The Flush Bolt 
options are;
For Hinged, Pivot Hinged, Sliding &amp; Track Bi Fold;
No
Silver
White
For Fixed;
N/A
For MS;
N/A</t>
        </r>
      </text>
    </comment>
    <comment ref="Z12" authorId="0" shapeId="0" xr:uid="{D158D553-F2A0-4B10-964A-239AA39D9BBA}">
      <text>
        <r>
          <rPr>
            <sz val="8"/>
            <color indexed="81"/>
            <rFont val="Tahoma"/>
            <family val="2"/>
          </rPr>
          <t>The Flush Bolt 
Location options are;
Hinged &amp; Pivot Hinged;
Bottom
Top
Bottom &amp; Top
Sliding &amp; Track Bi Fold;
Bottom</t>
        </r>
      </text>
    </comment>
    <comment ref="C13" authorId="0" shapeId="0" xr:uid="{F4CE2DED-EF7C-4E7F-A879-C8E031FA282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3" authorId="0" shapeId="0" xr:uid="{049D9D80-00F4-4041-8A32-B954509E15BC}">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3" authorId="0" shapeId="0" xr:uid="{66657648-263A-4B0B-B6A4-C1DB410F5DA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3" authorId="0" shapeId="0" xr:uid="{6802ED27-0151-46E5-B9E0-E72D7076F03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3" authorId="0" shapeId="0" xr:uid="{23356236-EE3B-4AA0-B89D-2B41357FC092}">
      <text>
        <r>
          <rPr>
            <sz val="8"/>
            <color indexed="81"/>
            <rFont val="Tahoma"/>
            <family val="2"/>
          </rPr>
          <t>The Blade sizes options are;
Eco Aluminium External Standard &amp; 
Eco Aluminium External Privacy Screen;
63mm
89mm
114mm
Eco Aluminium External Lite;
89mm</t>
        </r>
      </text>
    </comment>
    <comment ref="H13" authorId="0" shapeId="0" xr:uid="{69AACAD0-73E8-4716-97C5-C00FBD5B514C}">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3" authorId="0" shapeId="0" xr:uid="{9997D211-EDFB-44F1-8301-6CEF75E5F5A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3" authorId="0" shapeId="0" xr:uid="{03C5D1DB-96EA-46DD-B9E6-4D907D3D4E6F}">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3" authorId="0" shapeId="0" xr:uid="{314D2B76-2F7F-43CF-95D9-96467F6911A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3" authorId="0" shapeId="0" xr:uid="{6BC417AE-27EB-4CA3-963D-912C614C7B41}">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3" authorId="0" shapeId="0" xr:uid="{1DDA9022-43AE-436E-B319-E31EE537725E}">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3" authorId="0" shapeId="0" xr:uid="{F6AB99B8-0B66-43E8-935A-2DA0CF13CA6E}">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3" authorId="0" shapeId="0" xr:uid="{FEB7E0AA-E04E-495D-8128-190BEE6AB2DD}">
      <text>
        <r>
          <rPr>
            <sz val="8"/>
            <color indexed="81"/>
            <rFont val="Tahoma"/>
            <family val="2"/>
          </rPr>
          <t>The Frame Type is dependant on
 Mounting Method.</t>
        </r>
      </text>
    </comment>
    <comment ref="P13" authorId="0" shapeId="0" xr:uid="{CA8A807C-3290-4D70-BF6E-25EC98B65F0D}">
      <text>
        <r>
          <rPr>
            <sz val="8"/>
            <color indexed="81"/>
            <rFont val="Tahoma"/>
            <family val="2"/>
          </rPr>
          <t>Side Boards/Headboards for 
Track Bi Fold or Sliding 
incur an additional charge.</t>
        </r>
      </text>
    </comment>
    <comment ref="Q13" authorId="0" shapeId="0" xr:uid="{C16E1224-244B-4FC3-A785-D2731CFDDEF9}">
      <text>
        <r>
          <rPr>
            <sz val="8"/>
            <color indexed="81"/>
            <rFont val="Tahoma"/>
            <family val="2"/>
          </rPr>
          <t>Side Boards/Headboards for 
Track Bi Fold or Sliding 
incur an additional charge.</t>
        </r>
      </text>
    </comment>
    <comment ref="R13" authorId="0" shapeId="0" xr:uid="{5D706A59-20E9-40B0-9DFF-1A9C79E7EFE9}">
      <text>
        <r>
          <rPr>
            <sz val="8"/>
            <color indexed="81"/>
            <rFont val="Tahoma"/>
            <family val="2"/>
          </rPr>
          <t>For Sliding, a 
Top Slide Channel 
will be suppplied.
Side Boards/Headboards for 
Track Bi Fold or Sliding 
incur an additional charge.</t>
        </r>
      </text>
    </comment>
    <comment ref="S13" authorId="0" shapeId="0" xr:uid="{CD2BC4EA-2367-4948-9A9C-0252D8EB127F}">
      <text>
        <r>
          <rPr>
            <sz val="8"/>
            <color indexed="81"/>
            <rFont val="Tahoma"/>
            <family val="2"/>
          </rPr>
          <t>For Sliding, a 
Bottom Slide Channel 
will be suppplied.
Side Boards/Headboards for 
Track Bi Fold or Sliding 
incur an additional charge.</t>
        </r>
      </text>
    </comment>
    <comment ref="T13" authorId="0" shapeId="0" xr:uid="{B57776F2-1F3C-412F-9C9C-F490064A5428}">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3" authorId="0" shapeId="0" xr:uid="{0B359736-9612-4467-BE19-5D4735D81582}">
      <text>
        <r>
          <rPr>
            <sz val="8"/>
            <color indexed="81"/>
            <rFont val="Tahoma"/>
            <family val="2"/>
          </rPr>
          <t>The Tiltrod Type 
options are;
For 
Eco Aluminium External Standard
&amp; Eco Aluminium External Lite;
Hidden Back
Hidden Front
For 
Eco Aluminium External Privacy Screen
N/A</t>
        </r>
      </text>
    </comment>
    <comment ref="Y13" authorId="0" shapeId="0" xr:uid="{BC656F94-A8A6-424C-8ADF-C25EC66129E2}">
      <text>
        <r>
          <rPr>
            <sz val="8"/>
            <color indexed="81"/>
            <rFont val="Tahoma"/>
            <family val="2"/>
          </rPr>
          <t>The Flush Bolt 
options are;
For Hinged, Pivot Hinged, Sliding &amp; Track Bi Fold;
No
Silver
White
For Fixed;
N/A
For MS;
N/A</t>
        </r>
      </text>
    </comment>
    <comment ref="Z13" authorId="0" shapeId="0" xr:uid="{CB1AEEAE-CFAD-4BCC-AB8E-12B29E469BE8}">
      <text>
        <r>
          <rPr>
            <sz val="8"/>
            <color indexed="81"/>
            <rFont val="Tahoma"/>
            <family val="2"/>
          </rPr>
          <t>The Flush Bolt 
Location options are;
Hinged &amp; Pivot Hinged;
Bottom
Top
Bottom &amp; Top
Sliding &amp; Track Bi Fold;
Bottom</t>
        </r>
      </text>
    </comment>
    <comment ref="C14" authorId="0" shapeId="0" xr:uid="{5BB7CC8D-E053-40A0-BC75-01DD0558511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4" authorId="0" shapeId="0" xr:uid="{8709E6B0-75D3-434A-BB4B-0BA6116BFA4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4" authorId="0" shapeId="0" xr:uid="{F2300674-613C-44C5-B748-8BF564A7796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4" authorId="0" shapeId="0" xr:uid="{C23FE0AF-F1CC-4FA0-A35E-55615A4F9AB1}">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4" authorId="0" shapeId="0" xr:uid="{A2F09335-7FEF-4867-A423-E194EE51A540}">
      <text>
        <r>
          <rPr>
            <sz val="8"/>
            <color indexed="81"/>
            <rFont val="Tahoma"/>
            <family val="2"/>
          </rPr>
          <t>The Blade sizes options are;
Eco Aluminium External Standard &amp; 
Eco Aluminium External Privacy Screen;
63mm
89mm
114mm
Eco Aluminium External Lite;
89mm</t>
        </r>
      </text>
    </comment>
    <comment ref="H14" authorId="0" shapeId="0" xr:uid="{24D9B179-9B26-475F-A1D3-ED6949ADC655}">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4" authorId="0" shapeId="0" xr:uid="{9A02E7C1-96B7-407B-A23A-E9D4CC125E8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4" authorId="0" shapeId="0" xr:uid="{86D70ED2-CC41-4A60-913F-6F025E1675AC}">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4" authorId="0" shapeId="0" xr:uid="{CAFB8F80-7655-4B82-BB12-C04B34BFD96D}">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4" authorId="0" shapeId="0" xr:uid="{DCD11233-8AF1-4530-874F-677DD0005522}">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4" authorId="0" shapeId="0" xr:uid="{41CB5F73-EBC5-4D12-88B7-E795E2CA75D3}">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4" authorId="0" shapeId="0" xr:uid="{5CD0BA48-D6B2-4A63-AF88-844F0745C101}">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4" authorId="0" shapeId="0" xr:uid="{4FFB9D43-9C0B-4876-A49A-B252EC9639C5}">
      <text>
        <r>
          <rPr>
            <sz val="8"/>
            <color indexed="81"/>
            <rFont val="Tahoma"/>
            <family val="2"/>
          </rPr>
          <t>The Frame Type is dependant on
 Mounting Method.</t>
        </r>
      </text>
    </comment>
    <comment ref="P14" authorId="0" shapeId="0" xr:uid="{45294097-CF07-4B32-A4B3-C1CEC84459AF}">
      <text>
        <r>
          <rPr>
            <sz val="8"/>
            <color indexed="81"/>
            <rFont val="Tahoma"/>
            <family val="2"/>
          </rPr>
          <t>Side Boards/Headboards for 
Track Bi Fold or Sliding 
incur an additional charge.</t>
        </r>
      </text>
    </comment>
    <comment ref="Q14" authorId="0" shapeId="0" xr:uid="{ACBD8B64-C031-48A7-800B-A906F325D0F0}">
      <text>
        <r>
          <rPr>
            <sz val="8"/>
            <color indexed="81"/>
            <rFont val="Tahoma"/>
            <family val="2"/>
          </rPr>
          <t>Side Boards/Headboards for 
Track Bi Fold or Sliding 
incur an additional charge.</t>
        </r>
      </text>
    </comment>
    <comment ref="R14" authorId="0" shapeId="0" xr:uid="{3FC295BD-2B91-4089-B95D-EDDB255A172A}">
      <text>
        <r>
          <rPr>
            <sz val="8"/>
            <color indexed="81"/>
            <rFont val="Tahoma"/>
            <family val="2"/>
          </rPr>
          <t>For Sliding, a 
Top Slide Channel 
will be suppplied.
Side Boards/Headboards for 
Track Bi Fold or Sliding 
incur an additional charge.</t>
        </r>
      </text>
    </comment>
    <comment ref="S14" authorId="0" shapeId="0" xr:uid="{751395E5-3F23-409B-AE63-350249A02465}">
      <text>
        <r>
          <rPr>
            <sz val="8"/>
            <color indexed="81"/>
            <rFont val="Tahoma"/>
            <family val="2"/>
          </rPr>
          <t>For Sliding, a 
Bottom Slide Channel 
will be suppplied.
Side Boards/Headboards for 
Track Bi Fold or Sliding 
incur an additional charge.</t>
        </r>
      </text>
    </comment>
    <comment ref="T14" authorId="0" shapeId="0" xr:uid="{40A35797-FCFF-46E7-AB25-8A99AB8C4635}">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4" authorId="0" shapeId="0" xr:uid="{83CB3504-2D0B-4A8B-B973-EBBBA9B193E5}">
      <text>
        <r>
          <rPr>
            <sz val="8"/>
            <color indexed="81"/>
            <rFont val="Tahoma"/>
            <family val="2"/>
          </rPr>
          <t>The Tiltrod Type 
options are;
For 
Eco Aluminium External Standard
&amp; Eco Aluminium External Lite;
Hidden Back
Hidden Front
For 
Eco Aluminium External Privacy Screen
N/A</t>
        </r>
      </text>
    </comment>
    <comment ref="Y14" authorId="0" shapeId="0" xr:uid="{5C4827AE-CAB3-4D4D-A706-12491D227D89}">
      <text>
        <r>
          <rPr>
            <sz val="8"/>
            <color indexed="81"/>
            <rFont val="Tahoma"/>
            <family val="2"/>
          </rPr>
          <t>The Flush Bolt 
options are;
For Hinged, Pivot Hinged, Sliding &amp; Track Bi Fold;
No
Silver
White
For Fixed;
N/A
For MS;
N/A</t>
        </r>
      </text>
    </comment>
    <comment ref="Z14" authorId="0" shapeId="0" xr:uid="{3C9B004B-8701-4894-8124-8939945D5A08}">
      <text>
        <r>
          <rPr>
            <sz val="8"/>
            <color indexed="81"/>
            <rFont val="Tahoma"/>
            <family val="2"/>
          </rPr>
          <t>The Flush Bolt 
Location options are;
Hinged &amp; Pivot Hinged;
Bottom
Top
Bottom &amp; Top
Sliding &amp; Track Bi Fold;
Bottom</t>
        </r>
      </text>
    </comment>
    <comment ref="C15" authorId="0" shapeId="0" xr:uid="{64207367-EB6F-432E-AD51-738633A7AC64}">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5" authorId="0" shapeId="0" xr:uid="{BF11A4E5-5888-4763-BE68-A6F573B756C6}">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5" authorId="0" shapeId="0" xr:uid="{EC178E2C-61C6-42FE-95BD-0107D9855382}">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5" authorId="0" shapeId="0" xr:uid="{2D9FD5C9-B67D-4B30-8102-BADEA65527B5}">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5" authorId="0" shapeId="0" xr:uid="{E0491355-D6D2-4559-8444-57FD30E651B7}">
      <text>
        <r>
          <rPr>
            <sz val="8"/>
            <color indexed="81"/>
            <rFont val="Tahoma"/>
            <family val="2"/>
          </rPr>
          <t>The Blade sizes options are;
Eco Aluminium External Standard &amp; 
Eco Aluminium External Privacy Screen;
63mm
89mm
114mm
Eco Aluminium External Lite;
89mm</t>
        </r>
      </text>
    </comment>
    <comment ref="H15" authorId="0" shapeId="0" xr:uid="{B4482658-618D-45F5-A2DA-61E2D9137D1E}">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5" authorId="0" shapeId="0" xr:uid="{AB803926-E589-4346-8EA6-E59A83A02E03}">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5" authorId="0" shapeId="0" xr:uid="{68FF14A1-9181-4D0D-84AE-627557EE18A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5" authorId="0" shapeId="0" xr:uid="{6A69ED2E-0B9F-4142-89C2-C0645F5E1CD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5" authorId="0" shapeId="0" xr:uid="{8FB070C3-9A0E-453E-BBFB-F184EB23A5FE}">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5" authorId="0" shapeId="0" xr:uid="{3884C970-EDB9-4108-A31C-DC1D4091712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5" authorId="0" shapeId="0" xr:uid="{29B0F4E9-3383-4284-AEA3-25C45D08084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5" authorId="0" shapeId="0" xr:uid="{4F1A4068-FE4E-47CB-B773-9217ABD0C46C}">
      <text>
        <r>
          <rPr>
            <sz val="8"/>
            <color indexed="81"/>
            <rFont val="Tahoma"/>
            <family val="2"/>
          </rPr>
          <t>The Frame Type is dependant on
 Mounting Method.</t>
        </r>
      </text>
    </comment>
    <comment ref="P15" authorId="0" shapeId="0" xr:uid="{DE14420F-4694-4E5B-A924-D54BA6883D32}">
      <text>
        <r>
          <rPr>
            <sz val="8"/>
            <color indexed="81"/>
            <rFont val="Tahoma"/>
            <family val="2"/>
          </rPr>
          <t>Side Boards/Headboards for 
Track Bi Fold or Sliding 
incur an additional charge.</t>
        </r>
      </text>
    </comment>
    <comment ref="Q15" authorId="0" shapeId="0" xr:uid="{45E35E62-2B94-4081-9AF2-8C53647222E0}">
      <text>
        <r>
          <rPr>
            <sz val="8"/>
            <color indexed="81"/>
            <rFont val="Tahoma"/>
            <family val="2"/>
          </rPr>
          <t>Side Boards/Headboards for 
Track Bi Fold or Sliding 
incur an additional charge.</t>
        </r>
      </text>
    </comment>
    <comment ref="R15" authorId="0" shapeId="0" xr:uid="{B23F631D-A4B2-4DF4-898C-79E49F745D33}">
      <text>
        <r>
          <rPr>
            <sz val="8"/>
            <color indexed="81"/>
            <rFont val="Tahoma"/>
            <family val="2"/>
          </rPr>
          <t>For Sliding, a 
Top Slide Channel 
will be suppplied.
Side Boards/Headboards for 
Track Bi Fold or Sliding 
incur an additional charge.</t>
        </r>
      </text>
    </comment>
    <comment ref="S15" authorId="0" shapeId="0" xr:uid="{572BFD59-8452-4203-BC14-B72F6DD08EDD}">
      <text>
        <r>
          <rPr>
            <sz val="8"/>
            <color indexed="81"/>
            <rFont val="Tahoma"/>
            <family val="2"/>
          </rPr>
          <t>For Sliding, a 
Bottom Slide Channel 
will be suppplied.
Side Boards/Headboards for 
Track Bi Fold or Sliding 
incur an additional charge.</t>
        </r>
      </text>
    </comment>
    <comment ref="T15" authorId="0" shapeId="0" xr:uid="{B9AA0BEB-4C41-443D-AD72-1A00088BBD88}">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5" authorId="0" shapeId="0" xr:uid="{96396299-A920-491E-AAF7-C2CB42B771AB}">
      <text>
        <r>
          <rPr>
            <sz val="8"/>
            <color indexed="81"/>
            <rFont val="Tahoma"/>
            <family val="2"/>
          </rPr>
          <t>The Tiltrod Type 
options are;
For 
Eco Aluminium External Standard
&amp; Eco Aluminium External Lite;
Hidden Back
Hidden Front
For 
Eco Aluminium External Privacy Screen
N/A</t>
        </r>
      </text>
    </comment>
    <comment ref="Y15" authorId="0" shapeId="0" xr:uid="{41C38F25-F600-4209-AA53-985C7A990574}">
      <text>
        <r>
          <rPr>
            <sz val="8"/>
            <color indexed="81"/>
            <rFont val="Tahoma"/>
            <family val="2"/>
          </rPr>
          <t>The Flush Bolt 
options are;
For Hinged, Pivot Hinged, Sliding &amp; Track Bi Fold;
No
Silver
White
For Fixed;
N/A
For MS;
N/A</t>
        </r>
      </text>
    </comment>
    <comment ref="Z15" authorId="0" shapeId="0" xr:uid="{DEF77B32-DF80-4479-88EE-21CAE2BBA8DC}">
      <text>
        <r>
          <rPr>
            <sz val="8"/>
            <color indexed="81"/>
            <rFont val="Tahoma"/>
            <family val="2"/>
          </rPr>
          <t>The Flush Bolt 
Location options are;
Hinged &amp; Pivot Hinged;
Bottom
Top
Bottom &amp; Top
Sliding &amp; Track Bi Fold;
Bottom</t>
        </r>
      </text>
    </comment>
    <comment ref="C16" authorId="0" shapeId="0" xr:uid="{C8C916E0-0C51-4D4E-907B-5415EF283014}">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6" authorId="0" shapeId="0" xr:uid="{60ACCC6C-EFD7-4DD0-83C8-3E10242231E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6" authorId="0" shapeId="0" xr:uid="{A7D7A53D-1303-4FFF-94B7-8626E9813D39}">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6" authorId="0" shapeId="0" xr:uid="{47C7BEBE-9691-4D9D-8421-09BC36109C76}">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6" authorId="0" shapeId="0" xr:uid="{A811C96B-83B1-40B4-8D74-CA9ACF040862}">
      <text>
        <r>
          <rPr>
            <sz val="8"/>
            <color indexed="81"/>
            <rFont val="Tahoma"/>
            <family val="2"/>
          </rPr>
          <t>The Blade sizes options are;
Eco Aluminium External Standard &amp; 
Eco Aluminium External Privacy Screen;
63mm
89mm
114mm
Eco Aluminium External Lite;
89mm</t>
        </r>
      </text>
    </comment>
    <comment ref="H16" authorId="0" shapeId="0" xr:uid="{4C162AFE-9DF2-441A-BAD6-12FC7005BAC7}">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6" authorId="0" shapeId="0" xr:uid="{F91CB34B-3D18-4A44-879C-D50B010ABF4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6" authorId="0" shapeId="0" xr:uid="{9ED703D8-5483-4741-861C-BAC1822BEA2D}">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6" authorId="0" shapeId="0" xr:uid="{EF0ABC2D-FE72-4F87-92BA-35D9A5BAA8F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6" authorId="0" shapeId="0" xr:uid="{614BD043-9672-4F38-A4BF-1D23FD79BD3C}">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6" authorId="0" shapeId="0" xr:uid="{01C654C4-4EFF-41EC-B8AE-0E6FD8AB9C2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6" authorId="0" shapeId="0" xr:uid="{A9031E01-A479-459C-8648-A538AC255D17}">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6" authorId="0" shapeId="0" xr:uid="{35FB835D-3E05-4D0B-9DE9-7E0DE4A5F92E}">
      <text>
        <r>
          <rPr>
            <sz val="8"/>
            <color indexed="81"/>
            <rFont val="Tahoma"/>
            <family val="2"/>
          </rPr>
          <t>The Frame Type is dependant on
 Mounting Method.</t>
        </r>
      </text>
    </comment>
    <comment ref="P16" authorId="0" shapeId="0" xr:uid="{E8E9E0E3-2195-4116-833F-E0CCDA8E7C19}">
      <text>
        <r>
          <rPr>
            <sz val="8"/>
            <color indexed="81"/>
            <rFont val="Tahoma"/>
            <family val="2"/>
          </rPr>
          <t>Side Boards/Headboards for 
Track Bi Fold or Sliding 
incur an additional charge.</t>
        </r>
      </text>
    </comment>
    <comment ref="Q16" authorId="0" shapeId="0" xr:uid="{4EC390C7-AD76-48F9-B2B3-42141BC5FDF9}">
      <text>
        <r>
          <rPr>
            <sz val="8"/>
            <color indexed="81"/>
            <rFont val="Tahoma"/>
            <family val="2"/>
          </rPr>
          <t>Side Boards/Headboards for 
Track Bi Fold or Sliding 
incur an additional charge.</t>
        </r>
      </text>
    </comment>
    <comment ref="R16" authorId="0" shapeId="0" xr:uid="{1C7900C8-7017-44D8-B335-2E63A2309BDA}">
      <text>
        <r>
          <rPr>
            <sz val="8"/>
            <color indexed="81"/>
            <rFont val="Tahoma"/>
            <family val="2"/>
          </rPr>
          <t>For Sliding, a 
Top Slide Channel 
will be suppplied.
Side Boards/Headboards for 
Track Bi Fold or Sliding 
incur an additional charge.</t>
        </r>
      </text>
    </comment>
    <comment ref="S16" authorId="0" shapeId="0" xr:uid="{03040CDA-0621-47D0-B806-3EECF957689C}">
      <text>
        <r>
          <rPr>
            <sz val="8"/>
            <color indexed="81"/>
            <rFont val="Tahoma"/>
            <family val="2"/>
          </rPr>
          <t>For Sliding, a 
Bottom Slide Channel 
will be suppplied.
Side Boards/Headboards for 
Track Bi Fold or Sliding 
incur an additional charge.</t>
        </r>
      </text>
    </comment>
    <comment ref="T16" authorId="0" shapeId="0" xr:uid="{697B1D6A-F28B-480D-A57A-C5CC565D42A0}">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6" authorId="0" shapeId="0" xr:uid="{55558EAC-FF7C-47D8-87EA-1FF1F83861C6}">
      <text>
        <r>
          <rPr>
            <sz val="8"/>
            <color indexed="81"/>
            <rFont val="Tahoma"/>
            <family val="2"/>
          </rPr>
          <t>The Tiltrod Type 
options are;
For 
Eco Aluminium External Standard
&amp; Eco Aluminium External Lite;
Hidden Back
Hidden Front
For 
Eco Aluminium External Privacy Screen
N/A</t>
        </r>
      </text>
    </comment>
    <comment ref="Y16" authorId="0" shapeId="0" xr:uid="{6BC86BF7-1EF4-41A2-BEE0-6FA03EC0F42C}">
      <text>
        <r>
          <rPr>
            <sz val="8"/>
            <color indexed="81"/>
            <rFont val="Tahoma"/>
            <family val="2"/>
          </rPr>
          <t>The Flush Bolt 
options are;
For Hinged, Pivot Hinged, Sliding &amp; Track Bi Fold;
No
Silver
White
For Fixed;
N/A
For MS;
N/A</t>
        </r>
      </text>
    </comment>
    <comment ref="Z16" authorId="0" shapeId="0" xr:uid="{CEA88BD3-AA94-4B40-BAC8-48FA45D2CED9}">
      <text>
        <r>
          <rPr>
            <sz val="8"/>
            <color indexed="81"/>
            <rFont val="Tahoma"/>
            <family val="2"/>
          </rPr>
          <t>The Flush Bolt 
Location options are;
Hinged &amp; Pivot Hinged;
Bottom
Top
Bottom &amp; Top
Sliding &amp; Track Bi Fold;
Bottom</t>
        </r>
      </text>
    </comment>
    <comment ref="C17" authorId="0" shapeId="0" xr:uid="{F3220B22-BB50-402B-88BA-BCE08EAA9EC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7" authorId="0" shapeId="0" xr:uid="{2339729D-117A-4542-8851-0F69A886398D}">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7" authorId="0" shapeId="0" xr:uid="{114A472D-E1DC-4C3A-A8A9-636DE03F4A8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7" authorId="0" shapeId="0" xr:uid="{E0173995-172D-4345-B66C-C1A9F424FF55}">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7" authorId="0" shapeId="0" xr:uid="{97E25581-7534-4BC7-B3AD-1FD90CD94292}">
      <text>
        <r>
          <rPr>
            <sz val="8"/>
            <color indexed="81"/>
            <rFont val="Tahoma"/>
            <family val="2"/>
          </rPr>
          <t>The Blade sizes options are;
Eco Aluminium External Standard &amp; 
Eco Aluminium External Privacy Screen;
63mm
89mm
114mm
Eco Aluminium External Lite;
89mm</t>
        </r>
      </text>
    </comment>
    <comment ref="H17" authorId="0" shapeId="0" xr:uid="{DFFD0336-CF0D-4DCA-A7B6-ABD28BAB264A}">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7" authorId="0" shapeId="0" xr:uid="{550EA77F-9A49-4220-A07C-1B5AB2B88BE0}">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7" authorId="0" shapeId="0" xr:uid="{1016FB14-CF30-432C-84CB-4C48BFF2E322}">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7" authorId="0" shapeId="0" xr:uid="{7C8E8F89-0EFB-4D36-9C90-0EF8AFE3DE61}">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7" authorId="0" shapeId="0" xr:uid="{EB449D0B-BBB5-4FEC-954B-51901DEB3254}">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7" authorId="0" shapeId="0" xr:uid="{AC5BE70C-D5D1-4867-823C-08E546737F85}">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7" authorId="0" shapeId="0" xr:uid="{104F4F50-6B02-4DB5-B4C3-5425A307AE11}">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7" authorId="0" shapeId="0" xr:uid="{D399F3AD-9FB8-4E0D-ADAD-645B508A281D}">
      <text>
        <r>
          <rPr>
            <sz val="8"/>
            <color indexed="81"/>
            <rFont val="Tahoma"/>
            <family val="2"/>
          </rPr>
          <t>The Frame Type is dependant on
 Mounting Method.</t>
        </r>
      </text>
    </comment>
    <comment ref="P17" authorId="0" shapeId="0" xr:uid="{6EC249B1-38A0-43BB-9C16-736EBE1D1C1A}">
      <text>
        <r>
          <rPr>
            <sz val="8"/>
            <color indexed="81"/>
            <rFont val="Tahoma"/>
            <family val="2"/>
          </rPr>
          <t>Side Boards/Headboards for 
Track Bi Fold or Sliding 
incur an additional charge.</t>
        </r>
      </text>
    </comment>
    <comment ref="Q17" authorId="0" shapeId="0" xr:uid="{CF7FC474-2244-40A3-8D5F-0C23BA52954C}">
      <text>
        <r>
          <rPr>
            <sz val="8"/>
            <color indexed="81"/>
            <rFont val="Tahoma"/>
            <family val="2"/>
          </rPr>
          <t>Side Boards/Headboards for 
Track Bi Fold or Sliding 
incur an additional charge.</t>
        </r>
      </text>
    </comment>
    <comment ref="R17" authorId="0" shapeId="0" xr:uid="{A4150D96-DAB4-442F-9BBC-DA26A6D2FF2A}">
      <text>
        <r>
          <rPr>
            <sz val="8"/>
            <color indexed="81"/>
            <rFont val="Tahoma"/>
            <family val="2"/>
          </rPr>
          <t>For Sliding, a 
Top Slide Channel 
will be suppplied.
Side Boards/Headboards for 
Track Bi Fold or Sliding 
incur an additional charge.</t>
        </r>
      </text>
    </comment>
    <comment ref="S17" authorId="0" shapeId="0" xr:uid="{17615587-63A8-46AF-BEA3-742A823C1653}">
      <text>
        <r>
          <rPr>
            <sz val="8"/>
            <color indexed="81"/>
            <rFont val="Tahoma"/>
            <family val="2"/>
          </rPr>
          <t>For Sliding, a 
Bottom Slide Channel 
will be suppplied.
Side Boards/Headboards for 
Track Bi Fold or Sliding 
incur an additional charge.</t>
        </r>
      </text>
    </comment>
    <comment ref="T17" authorId="0" shapeId="0" xr:uid="{6A5C69F8-8159-4F17-B2E7-DFF86396865B}">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7" authorId="0" shapeId="0" xr:uid="{A1969A24-62C3-4654-A655-E0164D8D1084}">
      <text>
        <r>
          <rPr>
            <sz val="8"/>
            <color indexed="81"/>
            <rFont val="Tahoma"/>
            <family val="2"/>
          </rPr>
          <t>The Tiltrod Type 
options are;
For 
Eco Aluminium External Standard
&amp; Eco Aluminium External Lite;
Hidden Back
Hidden Front
For 
Eco Aluminium External Privacy Screen
N/A</t>
        </r>
      </text>
    </comment>
    <comment ref="Y17" authorId="0" shapeId="0" xr:uid="{BDFA4E90-D48A-4334-BC40-F0B4D2407DD1}">
      <text>
        <r>
          <rPr>
            <sz val="8"/>
            <color indexed="81"/>
            <rFont val="Tahoma"/>
            <family val="2"/>
          </rPr>
          <t>The Flush Bolt 
options are;
For Hinged, Pivot Hinged, Sliding &amp; Track Bi Fold;
No
Silver
White
For Fixed;
N/A
For MS;
N/A</t>
        </r>
      </text>
    </comment>
    <comment ref="Z17" authorId="0" shapeId="0" xr:uid="{CBC38054-36F2-420F-9711-A86D2794CA23}">
      <text>
        <r>
          <rPr>
            <sz val="8"/>
            <color indexed="81"/>
            <rFont val="Tahoma"/>
            <family val="2"/>
          </rPr>
          <t>The Flush Bolt 
Location options are;
Hinged &amp; Pivot Hinged;
Bottom
Top
Bottom &amp; Top
Sliding &amp; Track Bi Fold;
Bottom</t>
        </r>
      </text>
    </comment>
    <comment ref="C18" authorId="0" shapeId="0" xr:uid="{460EBB56-FA9F-4A66-AA41-38D8D68A024F}">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8" authorId="0" shapeId="0" xr:uid="{6BFAF3BF-F97C-4096-A962-984E1B32BF6B}">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8" authorId="0" shapeId="0" xr:uid="{799FA47D-8923-4009-A49C-DD8CC5CDC91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8" authorId="0" shapeId="0" xr:uid="{8AB10F00-0295-43BF-8858-12D12634DE8D}">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8" authorId="0" shapeId="0" xr:uid="{49DF76A6-CD69-4EDE-AD5E-A925DDE9192C}">
      <text>
        <r>
          <rPr>
            <sz val="8"/>
            <color indexed="81"/>
            <rFont val="Tahoma"/>
            <family val="2"/>
          </rPr>
          <t>The Blade sizes options are;
Eco Aluminium External Standard &amp; 
Eco Aluminium External Privacy Screen;
63mm
89mm
114mm
Eco Aluminium External Lite;
89mm</t>
        </r>
      </text>
    </comment>
    <comment ref="H18" authorId="0" shapeId="0" xr:uid="{3CCFA8D8-9734-4684-B539-A57B6E4C5E90}">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8" authorId="0" shapeId="0" xr:uid="{2FBF8204-3F5A-4604-BED7-45218A33D54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8" authorId="0" shapeId="0" xr:uid="{8E368551-37C9-45AE-9572-90E73BFE20E2}">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8" authorId="0" shapeId="0" xr:uid="{229E8657-5956-4750-A6DA-B8934FC7A408}">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8" authorId="0" shapeId="0" xr:uid="{1C3C4846-6D97-4D8B-93AC-D9029A23DE5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8" authorId="0" shapeId="0" xr:uid="{3C553A69-E3A7-43FD-B2B8-477ADCA952B8}">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8" authorId="0" shapeId="0" xr:uid="{2F1095A2-0C0B-4C11-8B7A-446B6287DEAD}">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8" authorId="0" shapeId="0" xr:uid="{4ED5F965-2406-482F-980A-5BEF6A0B5758}">
      <text>
        <r>
          <rPr>
            <sz val="8"/>
            <color indexed="81"/>
            <rFont val="Tahoma"/>
            <family val="2"/>
          </rPr>
          <t>The Frame Type is dependant on
 Mounting Method.</t>
        </r>
      </text>
    </comment>
    <comment ref="P18" authorId="0" shapeId="0" xr:uid="{9B3D2901-8068-4C5A-80B6-9CD9068B7B25}">
      <text>
        <r>
          <rPr>
            <sz val="8"/>
            <color indexed="81"/>
            <rFont val="Tahoma"/>
            <family val="2"/>
          </rPr>
          <t>Side Boards/Headboards for 
Track Bi Fold or Sliding 
incur an additional charge.</t>
        </r>
      </text>
    </comment>
    <comment ref="Q18" authorId="0" shapeId="0" xr:uid="{267E5CAA-B951-4912-9B13-C40FDE714C1E}">
      <text>
        <r>
          <rPr>
            <sz val="8"/>
            <color indexed="81"/>
            <rFont val="Tahoma"/>
            <family val="2"/>
          </rPr>
          <t>Side Boards/Headboards for 
Track Bi Fold or Sliding 
incur an additional charge.</t>
        </r>
      </text>
    </comment>
    <comment ref="R18" authorId="0" shapeId="0" xr:uid="{E2AEF9DE-3EEC-4FAC-A17A-F2AA31B7242F}">
      <text>
        <r>
          <rPr>
            <sz val="8"/>
            <color indexed="81"/>
            <rFont val="Tahoma"/>
            <family val="2"/>
          </rPr>
          <t>For Sliding, a 
Top Slide Channel 
will be suppplied.
Side Boards/Headboards for 
Track Bi Fold or Sliding 
incur an additional charge.</t>
        </r>
      </text>
    </comment>
    <comment ref="S18" authorId="0" shapeId="0" xr:uid="{9C9B7C49-D7C8-463F-B775-7E6D90EFBA07}">
      <text>
        <r>
          <rPr>
            <sz val="8"/>
            <color indexed="81"/>
            <rFont val="Tahoma"/>
            <family val="2"/>
          </rPr>
          <t>For Sliding, a 
Bottom Slide Channel 
will be suppplied.
Side Boards/Headboards for 
Track Bi Fold or Sliding 
incur an additional charge.</t>
        </r>
      </text>
    </comment>
    <comment ref="T18" authorId="0" shapeId="0" xr:uid="{F178D2F0-5667-4FB3-90AB-F6D0B9A3E37C}">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8" authorId="0" shapeId="0" xr:uid="{4E3D965B-AFBE-42E4-9D66-7B894C1D8ED1}">
      <text>
        <r>
          <rPr>
            <sz val="8"/>
            <color indexed="81"/>
            <rFont val="Tahoma"/>
            <family val="2"/>
          </rPr>
          <t>The Tiltrod Type 
options are;
For 
Eco Aluminium External Standard
&amp; Eco Aluminium External Lite;
Hidden Back
Hidden Front
For 
Eco Aluminium External Privacy Screen
N/A</t>
        </r>
      </text>
    </comment>
    <comment ref="Y18" authorId="0" shapeId="0" xr:uid="{D066F670-4C9B-4775-A3A5-45E0394F09A0}">
      <text>
        <r>
          <rPr>
            <sz val="8"/>
            <color indexed="81"/>
            <rFont val="Tahoma"/>
            <family val="2"/>
          </rPr>
          <t>The Flush Bolt 
options are;
For Hinged, Pivot Hinged, Sliding &amp; Track Bi Fold;
No
Silver
White
For Fixed;
N/A
For MS;
N/A</t>
        </r>
      </text>
    </comment>
    <comment ref="Z18" authorId="0" shapeId="0" xr:uid="{8A19F7DA-853D-4B0B-A0BA-F99B66EDD902}">
      <text>
        <r>
          <rPr>
            <sz val="8"/>
            <color indexed="81"/>
            <rFont val="Tahoma"/>
            <family val="2"/>
          </rPr>
          <t>The Flush Bolt 
Location options are;
Hinged &amp; Pivot Hinged;
Bottom
Top
Bottom &amp; Top
Sliding &amp; Track Bi Fold;
Bottom</t>
        </r>
      </text>
    </comment>
    <comment ref="C19" authorId="0" shapeId="0" xr:uid="{42CF37C1-AE15-4517-9C2E-4DD42EC9820C}">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9" authorId="0" shapeId="0" xr:uid="{84C6B2FB-D272-407A-AEF2-5C35097F1546}">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9" authorId="0" shapeId="0" xr:uid="{3E6D10EB-23D9-499A-8691-C10482375838}">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9" authorId="0" shapeId="0" xr:uid="{F1DE4E56-53DD-4D9A-90AE-355AD4B5E06B}">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9" authorId="0" shapeId="0" xr:uid="{218A592F-895F-4107-8F59-D593C1A80816}">
      <text>
        <r>
          <rPr>
            <sz val="8"/>
            <color indexed="81"/>
            <rFont val="Tahoma"/>
            <family val="2"/>
          </rPr>
          <t>The Blade sizes options are;
Eco Aluminium External Standard &amp; 
Eco Aluminium External Privacy Screen;
63mm
89mm
114mm
Eco Aluminium External Lite;
89mm</t>
        </r>
      </text>
    </comment>
    <comment ref="H19" authorId="0" shapeId="0" xr:uid="{6E6FE1B7-E04E-4CD2-A526-66391EC1B6DD}">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9" authorId="0" shapeId="0" xr:uid="{B468DC14-4801-42CD-A7C7-57E1765082A0}">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9" authorId="0" shapeId="0" xr:uid="{2DBD2C63-37A1-454B-BDED-1F51A452F3B4}">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9" authorId="0" shapeId="0" xr:uid="{D1CA7E90-AC4D-4FDB-BB5F-6ECE14BEF11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9" authorId="0" shapeId="0" xr:uid="{061F818D-508B-4B37-9FA2-59728B4EC6C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9" authorId="0" shapeId="0" xr:uid="{CE5C5F1C-B06A-4632-9568-F1319886F5E0}">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9" authorId="0" shapeId="0" xr:uid="{2EF9F759-3069-4352-A289-78D89A8FB8AA}">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9" authorId="0" shapeId="0" xr:uid="{1E8CEBA0-9E0E-4266-A769-5A1836EB30E9}">
      <text>
        <r>
          <rPr>
            <sz val="8"/>
            <color indexed="81"/>
            <rFont val="Tahoma"/>
            <family val="2"/>
          </rPr>
          <t>The Frame Type is dependant on
 Mounting Method.</t>
        </r>
      </text>
    </comment>
    <comment ref="P19" authorId="0" shapeId="0" xr:uid="{FE96C12C-D526-4429-8BEB-DCBB0B05B58D}">
      <text>
        <r>
          <rPr>
            <sz val="8"/>
            <color indexed="81"/>
            <rFont val="Tahoma"/>
            <family val="2"/>
          </rPr>
          <t>Side Boards/Headboards for 
Track Bi Fold or Sliding 
incur an additional charge.</t>
        </r>
      </text>
    </comment>
    <comment ref="Q19" authorId="0" shapeId="0" xr:uid="{DB0FDCF1-F48E-45FD-8B34-CF55BB2A1CBD}">
      <text>
        <r>
          <rPr>
            <sz val="8"/>
            <color indexed="81"/>
            <rFont val="Tahoma"/>
            <family val="2"/>
          </rPr>
          <t>Side Boards/Headboards for 
Track Bi Fold or Sliding 
incur an additional charge.</t>
        </r>
      </text>
    </comment>
    <comment ref="R19" authorId="0" shapeId="0" xr:uid="{FF649580-9725-487D-81AA-CD4DAD3C3FB9}">
      <text>
        <r>
          <rPr>
            <sz val="8"/>
            <color indexed="81"/>
            <rFont val="Tahoma"/>
            <family val="2"/>
          </rPr>
          <t>For Sliding, a 
Top Slide Channel 
will be suppplied.
Side Boards/Headboards for 
Track Bi Fold or Sliding 
incur an additional charge.</t>
        </r>
      </text>
    </comment>
    <comment ref="S19" authorId="0" shapeId="0" xr:uid="{CFAB3050-A4CA-4CD5-8205-CEA1FA1112BD}">
      <text>
        <r>
          <rPr>
            <sz val="8"/>
            <color indexed="81"/>
            <rFont val="Tahoma"/>
            <family val="2"/>
          </rPr>
          <t>For Sliding, a 
Bottom Slide Channel 
will be suppplied.
Side Boards/Headboards for 
Track Bi Fold or Sliding 
incur an additional charge.</t>
        </r>
      </text>
    </comment>
    <comment ref="T19" authorId="0" shapeId="0" xr:uid="{B147916F-19DD-4ECC-9541-BEFBFE3FAAA3}">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9" authorId="0" shapeId="0" xr:uid="{0728A7AF-EC9A-422A-A9F2-A47444E8FA4C}">
      <text>
        <r>
          <rPr>
            <sz val="8"/>
            <color indexed="81"/>
            <rFont val="Tahoma"/>
            <family val="2"/>
          </rPr>
          <t>The Tiltrod Type 
options are;
For 
Eco Aluminium External Standard
&amp; Eco Aluminium External Lite;
Hidden Back
Hidden Front
For 
Eco Aluminium External Privacy Screen
N/A</t>
        </r>
      </text>
    </comment>
    <comment ref="Y19" authorId="0" shapeId="0" xr:uid="{04F5D74A-FA7C-4847-86C9-BEE479AD820A}">
      <text>
        <r>
          <rPr>
            <sz val="8"/>
            <color indexed="81"/>
            <rFont val="Tahoma"/>
            <family val="2"/>
          </rPr>
          <t>The Flush Bolt 
options are;
For Hinged, Pivot Hinged, Sliding &amp; Track Bi Fold;
No
Silver
White
For Fixed;
N/A
For MS;
N/A</t>
        </r>
      </text>
    </comment>
    <comment ref="Z19" authorId="0" shapeId="0" xr:uid="{50662A67-AB65-49BA-85D7-5D1BF3824CD9}">
      <text>
        <r>
          <rPr>
            <sz val="8"/>
            <color indexed="81"/>
            <rFont val="Tahoma"/>
            <family val="2"/>
          </rPr>
          <t>The Flush Bolt 
Location options are;
Hinged &amp; Pivot Hinged;
Bottom
Top
Bottom &amp; Top
Sliding &amp; Track Bi Fold;
Bottom</t>
        </r>
      </text>
    </comment>
    <comment ref="C20" authorId="0" shapeId="0" xr:uid="{7FED63EE-19D6-4D2D-A460-D747CBEEBEC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0" authorId="0" shapeId="0" xr:uid="{5EC85583-425C-488A-B739-6266D995349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0" authorId="0" shapeId="0" xr:uid="{18E5BBCC-0E92-4407-9AF8-E4C68A6E6FA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0" authorId="0" shapeId="0" xr:uid="{D529F499-9927-4E9E-85FB-91E1009CE51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0" authorId="0" shapeId="0" xr:uid="{88AA474D-CDE9-4F13-853B-4202AEF14FBA}">
      <text>
        <r>
          <rPr>
            <sz val="8"/>
            <color indexed="81"/>
            <rFont val="Tahoma"/>
            <family val="2"/>
          </rPr>
          <t>The Blade sizes options are;
Eco Aluminium External Standard &amp; 
Eco Aluminium External Privacy Screen;
63mm
89mm
114mm
Eco Aluminium External Lite;
89mm</t>
        </r>
      </text>
    </comment>
    <comment ref="H20" authorId="0" shapeId="0" xr:uid="{A3A5F146-8213-45D0-8955-3492F5B4A483}">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0" authorId="0" shapeId="0" xr:uid="{5FC29EF5-A24D-43A1-BEAA-9A606685C75D}">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0" authorId="0" shapeId="0" xr:uid="{E2D524FD-15E8-4367-B16C-3045E5DE0E2E}">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0" authorId="0" shapeId="0" xr:uid="{34E8A7D3-30E5-41C3-BDEB-B3E53F9CC7F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0" authorId="0" shapeId="0" xr:uid="{D98F2F82-A109-47B7-974F-3AD14DB77F66}">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0" authorId="0" shapeId="0" xr:uid="{4096EC3E-212B-4E53-A5D5-0654098AD3D4}">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0" authorId="0" shapeId="0" xr:uid="{967FBD57-DAFF-4B4B-BE4B-123E658DEC2A}">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0" authorId="0" shapeId="0" xr:uid="{5D1C7A5E-A80B-456F-A5EC-C3667BD7993B}">
      <text>
        <r>
          <rPr>
            <sz val="8"/>
            <color indexed="81"/>
            <rFont val="Tahoma"/>
            <family val="2"/>
          </rPr>
          <t>The Frame Type is dependant on
 Mounting Method.</t>
        </r>
      </text>
    </comment>
    <comment ref="P20" authorId="0" shapeId="0" xr:uid="{4BCB9794-3774-414D-AF87-628667CD74A2}">
      <text>
        <r>
          <rPr>
            <sz val="8"/>
            <color indexed="81"/>
            <rFont val="Tahoma"/>
            <family val="2"/>
          </rPr>
          <t>Side Boards/Headboards for 
Track Bi Fold or Sliding 
incur an additional charge.</t>
        </r>
      </text>
    </comment>
    <comment ref="Q20" authorId="0" shapeId="0" xr:uid="{17607F8F-6CE0-4AC2-9392-2131F287B981}">
      <text>
        <r>
          <rPr>
            <sz val="8"/>
            <color indexed="81"/>
            <rFont val="Tahoma"/>
            <family val="2"/>
          </rPr>
          <t>Side Boards/Headboards for 
Track Bi Fold or Sliding 
incur an additional charge.</t>
        </r>
      </text>
    </comment>
    <comment ref="R20" authorId="0" shapeId="0" xr:uid="{88B6A622-A7E3-4441-A165-E97341DEEEB6}">
      <text>
        <r>
          <rPr>
            <sz val="8"/>
            <color indexed="81"/>
            <rFont val="Tahoma"/>
            <family val="2"/>
          </rPr>
          <t>For Sliding, a 
Top Slide Channel 
will be suppplied.
Side Boards/Headboards for 
Track Bi Fold or Sliding 
incur an additional charge.</t>
        </r>
      </text>
    </comment>
    <comment ref="S20" authorId="0" shapeId="0" xr:uid="{9508DA86-783B-414E-854A-254A63719E43}">
      <text>
        <r>
          <rPr>
            <sz val="8"/>
            <color indexed="81"/>
            <rFont val="Tahoma"/>
            <family val="2"/>
          </rPr>
          <t>For Sliding, a 
Bottom Slide Channel 
will be suppplied.
Side Boards/Headboards for 
Track Bi Fold or Sliding 
incur an additional charge.</t>
        </r>
      </text>
    </comment>
    <comment ref="T20" authorId="0" shapeId="0" xr:uid="{D01C0B06-0FF3-4C28-8C26-53E90778A81D}">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0" authorId="0" shapeId="0" xr:uid="{46FD5C7B-C0CA-4A1A-A809-C1BCC0236900}">
      <text>
        <r>
          <rPr>
            <sz val="8"/>
            <color indexed="81"/>
            <rFont val="Tahoma"/>
            <family val="2"/>
          </rPr>
          <t>The Tiltrod Type 
options are;
For 
Eco Aluminium External Standard
&amp; Eco Aluminium External Lite;
Hidden Back
Hidden Front
For 
Eco Aluminium External Privacy Screen
N/A</t>
        </r>
      </text>
    </comment>
    <comment ref="Y20" authorId="0" shapeId="0" xr:uid="{3A452C58-A8B8-48CA-8896-D4BD669E4273}">
      <text>
        <r>
          <rPr>
            <sz val="8"/>
            <color indexed="81"/>
            <rFont val="Tahoma"/>
            <family val="2"/>
          </rPr>
          <t>The Flush Bolt 
options are;
For Hinged, Pivot Hinged, Sliding &amp; Track Bi Fold;
No
Silver
White
For Fixed;
N/A
For MS;
N/A</t>
        </r>
      </text>
    </comment>
    <comment ref="Z20" authorId="0" shapeId="0" xr:uid="{02326920-49CD-4AE3-9D30-90DA03E89683}">
      <text>
        <r>
          <rPr>
            <sz val="8"/>
            <color indexed="81"/>
            <rFont val="Tahoma"/>
            <family val="2"/>
          </rPr>
          <t>The Flush Bolt 
Location options are;
Hinged &amp; Pivot Hinged;
Bottom
Top
Bottom &amp; Top
Sliding &amp; Track Bi Fold;
Bottom</t>
        </r>
      </text>
    </comment>
    <comment ref="C21" authorId="0" shapeId="0" xr:uid="{6D303C6F-2760-4C4E-B8FB-2FFB5C306689}">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1" authorId="0" shapeId="0" xr:uid="{D43D207F-59B0-48EB-B0E7-588AB17CE699}">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1" authorId="0" shapeId="0" xr:uid="{921BB2B9-85E3-44D4-8E3E-2BB77A2638E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1" authorId="0" shapeId="0" xr:uid="{0B2AB5B1-4F3D-40AD-8F35-2C0AA45B571D}">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1" authorId="0" shapeId="0" xr:uid="{1C0462C1-F474-4DBB-B36F-D2303BB9F774}">
      <text>
        <r>
          <rPr>
            <sz val="8"/>
            <color indexed="81"/>
            <rFont val="Tahoma"/>
            <family val="2"/>
          </rPr>
          <t>The Blade sizes options are;
Eco Aluminium External Standard &amp; 
Eco Aluminium External Privacy Screen;
63mm
89mm
114mm
Eco Aluminium External Lite;
89mm</t>
        </r>
      </text>
    </comment>
    <comment ref="H21" authorId="0" shapeId="0" xr:uid="{9C7E904B-D84F-4AA4-B5C4-68F60DDB9FD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1" authorId="0" shapeId="0" xr:uid="{D8F0DC45-BB30-4BCC-A2FF-D4DD7B35D27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1" authorId="0" shapeId="0" xr:uid="{7F37602A-C4DF-4480-8864-805742FA6A7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1" authorId="0" shapeId="0" xr:uid="{6643E6D4-C7DE-4378-BF8C-3274D9EDCCE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1" authorId="0" shapeId="0" xr:uid="{645B9F0A-8003-4AB2-9257-86AB7B01060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1" authorId="0" shapeId="0" xr:uid="{FF236D21-B7F3-40CA-A355-827AC005ADB8}">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1" authorId="0" shapeId="0" xr:uid="{E53F2315-490E-42D4-B9F3-06BF6007F196}">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1" authorId="0" shapeId="0" xr:uid="{A7C31788-A797-42EB-AEFB-183828005727}">
      <text>
        <r>
          <rPr>
            <sz val="8"/>
            <color indexed="81"/>
            <rFont val="Tahoma"/>
            <family val="2"/>
          </rPr>
          <t>The Frame Type is dependant on
 Mounting Method.</t>
        </r>
      </text>
    </comment>
    <comment ref="P21" authorId="0" shapeId="0" xr:uid="{D86E278A-F89C-4492-9676-9DEDFE2A1A95}">
      <text>
        <r>
          <rPr>
            <sz val="8"/>
            <color indexed="81"/>
            <rFont val="Tahoma"/>
            <family val="2"/>
          </rPr>
          <t>Side Boards/Headboards for 
Track Bi Fold or Sliding 
incur an additional charge.</t>
        </r>
      </text>
    </comment>
    <comment ref="Q21" authorId="0" shapeId="0" xr:uid="{9E74A248-2A37-4BF0-A4B9-B65404421310}">
      <text>
        <r>
          <rPr>
            <sz val="8"/>
            <color indexed="81"/>
            <rFont val="Tahoma"/>
            <family val="2"/>
          </rPr>
          <t>Side Boards/Headboards for 
Track Bi Fold or Sliding 
incur an additional charge.</t>
        </r>
      </text>
    </comment>
    <comment ref="R21" authorId="0" shapeId="0" xr:uid="{21715D68-8BA4-46AC-9BCE-C7B491BDDBCE}">
      <text>
        <r>
          <rPr>
            <sz val="8"/>
            <color indexed="81"/>
            <rFont val="Tahoma"/>
            <family val="2"/>
          </rPr>
          <t>For Sliding, a 
Top Slide Channel 
will be suppplied.
Side Boards/Headboards for 
Track Bi Fold or Sliding 
incur an additional charge.</t>
        </r>
      </text>
    </comment>
    <comment ref="S21" authorId="0" shapeId="0" xr:uid="{31649F48-1821-4B34-8AE5-620337DC646A}">
      <text>
        <r>
          <rPr>
            <sz val="8"/>
            <color indexed="81"/>
            <rFont val="Tahoma"/>
            <family val="2"/>
          </rPr>
          <t>For Sliding, a 
Bottom Slide Channel 
will be suppplied.
Side Boards/Headboards for 
Track Bi Fold or Sliding 
incur an additional charge.</t>
        </r>
      </text>
    </comment>
    <comment ref="T21" authorId="0" shapeId="0" xr:uid="{81F11829-D1FD-43DB-BA5D-06561C954EBB}">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1" authorId="0" shapeId="0" xr:uid="{C12596F8-7671-48C2-B07E-F8130ABFEC61}">
      <text>
        <r>
          <rPr>
            <sz val="8"/>
            <color indexed="81"/>
            <rFont val="Tahoma"/>
            <family val="2"/>
          </rPr>
          <t>The Tiltrod Type 
options are;
For 
Eco Aluminium External Standard
&amp; Eco Aluminium External Lite;
Hidden Back
Hidden Front
For 
Eco Aluminium External Privacy Screen
N/A</t>
        </r>
      </text>
    </comment>
    <comment ref="Y21" authorId="0" shapeId="0" xr:uid="{19FE7CFD-FA7C-446F-9E18-A1CA61721273}">
      <text>
        <r>
          <rPr>
            <sz val="8"/>
            <color indexed="81"/>
            <rFont val="Tahoma"/>
            <family val="2"/>
          </rPr>
          <t>The Flush Bolt 
options are;
For Hinged, Pivot Hinged, Sliding &amp; Track Bi Fold;
No
Silver
White
For Fixed;
N/A
For MS;
N/A</t>
        </r>
      </text>
    </comment>
    <comment ref="Z21" authorId="0" shapeId="0" xr:uid="{72AE2C6B-867F-4C32-8DDC-064C9F5261F6}">
      <text>
        <r>
          <rPr>
            <sz val="8"/>
            <color indexed="81"/>
            <rFont val="Tahoma"/>
            <family val="2"/>
          </rPr>
          <t>The Flush Bolt 
Location options are;
Hinged &amp; Pivot Hinged;
Bottom
Top
Bottom &amp; Top
Sliding &amp; Track Bi Fold;
Bottom</t>
        </r>
      </text>
    </comment>
    <comment ref="C22" authorId="0" shapeId="0" xr:uid="{26B811E4-3A43-46AD-B3D6-4F3C42B9DBA8}">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2" authorId="0" shapeId="0" xr:uid="{DC946752-14C9-4437-ADEF-C0F7DC40870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2" authorId="0" shapeId="0" xr:uid="{64CA8468-2F2E-4BDB-BA44-5DD205764F7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2" authorId="0" shapeId="0" xr:uid="{D73A8893-9E95-4CDC-A5F8-94B947CDF080}">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2" authorId="0" shapeId="0" xr:uid="{80078812-EED0-4B2C-B790-691E40CCB185}">
      <text>
        <r>
          <rPr>
            <sz val="8"/>
            <color indexed="81"/>
            <rFont val="Tahoma"/>
            <family val="2"/>
          </rPr>
          <t>The Blade sizes options are;
Eco Aluminium External Standard &amp; 
Eco Aluminium External Privacy Screen;
63mm
89mm
114mm
Eco Aluminium External Lite;
89mm</t>
        </r>
      </text>
    </comment>
    <comment ref="H22" authorId="0" shapeId="0" xr:uid="{F67FFD35-AD8B-401C-9D1F-F92B7B9EA95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2" authorId="0" shapeId="0" xr:uid="{F858BB2B-9610-4110-BF3C-446A0DCCCFA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2" authorId="0" shapeId="0" xr:uid="{C6B4299F-6EB5-4C41-A3FF-4B401A9F2C7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2" authorId="0" shapeId="0" xr:uid="{FCAC6BA0-B7D0-4B9D-A193-C4E24DDAE47B}">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2" authorId="0" shapeId="0" xr:uid="{7A01837E-8891-411E-8434-61A7BBC9F5CF}">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2" authorId="0" shapeId="0" xr:uid="{7DB9B372-36BB-4F7B-9504-3DFDF6B626BC}">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2" authorId="0" shapeId="0" xr:uid="{25D12C83-E2DE-40E8-91A2-E604E5F00AD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2" authorId="0" shapeId="0" xr:uid="{D0A57324-ECD5-4C44-AD53-55F8AD842064}">
      <text>
        <r>
          <rPr>
            <sz val="8"/>
            <color indexed="81"/>
            <rFont val="Tahoma"/>
            <family val="2"/>
          </rPr>
          <t>The Frame Type is dependant on
 Mounting Method.</t>
        </r>
      </text>
    </comment>
    <comment ref="P22" authorId="0" shapeId="0" xr:uid="{F31DD4CA-13A3-4F87-A2BC-839FF10A6FEB}">
      <text>
        <r>
          <rPr>
            <sz val="8"/>
            <color indexed="81"/>
            <rFont val="Tahoma"/>
            <family val="2"/>
          </rPr>
          <t>Side Boards/Headboards for 
Track Bi Fold or Sliding 
incur an additional charge.</t>
        </r>
      </text>
    </comment>
    <comment ref="Q22" authorId="0" shapeId="0" xr:uid="{FF1C8518-3840-4181-93E8-CE2F39BC9386}">
      <text>
        <r>
          <rPr>
            <sz val="8"/>
            <color indexed="81"/>
            <rFont val="Tahoma"/>
            <family val="2"/>
          </rPr>
          <t>Side Boards/Headboards for 
Track Bi Fold or Sliding 
incur an additional charge.</t>
        </r>
      </text>
    </comment>
    <comment ref="R22" authorId="0" shapeId="0" xr:uid="{0791CB40-83D7-4701-92E5-12F03F0ABEF8}">
      <text>
        <r>
          <rPr>
            <sz val="8"/>
            <color indexed="81"/>
            <rFont val="Tahoma"/>
            <family val="2"/>
          </rPr>
          <t>For Sliding, a 
Top Slide Channel 
will be suppplied.
Side Boards/Headboards for 
Track Bi Fold or Sliding 
incur an additional charge.</t>
        </r>
      </text>
    </comment>
    <comment ref="S22" authorId="0" shapeId="0" xr:uid="{B298C3B5-EC67-4B76-8076-5ED4FDF54774}">
      <text>
        <r>
          <rPr>
            <sz val="8"/>
            <color indexed="81"/>
            <rFont val="Tahoma"/>
            <family val="2"/>
          </rPr>
          <t>For Sliding, a 
Bottom Slide Channel 
will be suppplied.
Side Boards/Headboards for 
Track Bi Fold or Sliding 
incur an additional charge.</t>
        </r>
      </text>
    </comment>
    <comment ref="T22" authorId="0" shapeId="0" xr:uid="{7C0DE76A-C16E-4CC7-B4E4-7B7C4AA0119C}">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2" authorId="0" shapeId="0" xr:uid="{5A4EEEBA-7B53-46DD-BF31-A0FBC199520D}">
      <text>
        <r>
          <rPr>
            <sz val="8"/>
            <color indexed="81"/>
            <rFont val="Tahoma"/>
            <family val="2"/>
          </rPr>
          <t>The Tiltrod Type 
options are;
For 
Eco Aluminium External Standard
&amp; Eco Aluminium External Lite;
Hidden Back
Hidden Front
For 
Eco Aluminium External Privacy Screen
N/A</t>
        </r>
      </text>
    </comment>
    <comment ref="Y22" authorId="0" shapeId="0" xr:uid="{2E908F1D-585F-4084-8E3D-4D5116649E00}">
      <text>
        <r>
          <rPr>
            <sz val="8"/>
            <color indexed="81"/>
            <rFont val="Tahoma"/>
            <family val="2"/>
          </rPr>
          <t>The Flush Bolt 
options are;
For Hinged, Pivot Hinged, Sliding &amp; Track Bi Fold;
No
Silver
White
For Fixed;
N/A
For MS;
N/A</t>
        </r>
      </text>
    </comment>
    <comment ref="Z22" authorId="0" shapeId="0" xr:uid="{95437742-87AA-44EA-A790-95B3F5B0463D}">
      <text>
        <r>
          <rPr>
            <sz val="8"/>
            <color indexed="81"/>
            <rFont val="Tahoma"/>
            <family val="2"/>
          </rPr>
          <t>The Flush Bolt 
Location options are;
Hinged &amp; Pivot Hinged;
Bottom
Top
Bottom &amp; Top
Sliding &amp; Track Bi Fold;
Bottom</t>
        </r>
      </text>
    </comment>
    <comment ref="C23" authorId="0" shapeId="0" xr:uid="{22F7EDD8-40F3-440D-BF81-7E8072EBC603}">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3" authorId="0" shapeId="0" xr:uid="{ACFD8EE1-04D0-43FF-9F75-E77426A82CF0}">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3" authorId="0" shapeId="0" xr:uid="{3A2E9712-05C9-4CBA-AFD8-B167CDC1BF1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3" authorId="0" shapeId="0" xr:uid="{6CC0F29F-81BB-4128-BF07-960C1683F9FF}">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3" authorId="0" shapeId="0" xr:uid="{93167608-E7FD-4339-81F3-0BDCC4978669}">
      <text>
        <r>
          <rPr>
            <sz val="8"/>
            <color indexed="81"/>
            <rFont val="Tahoma"/>
            <family val="2"/>
          </rPr>
          <t>The Blade sizes options are;
Eco Aluminium External Standard &amp; 
Eco Aluminium External Privacy Screen;
63mm
89mm
114mm
Eco Aluminium External Lite;
89mm</t>
        </r>
      </text>
    </comment>
    <comment ref="H23" authorId="0" shapeId="0" xr:uid="{204A0E6E-581E-4CC7-80F2-5E9D1C5FDB6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3" authorId="0" shapeId="0" xr:uid="{9C0CFC3C-935D-4A9E-A6B7-C369242861F9}">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3" authorId="0" shapeId="0" xr:uid="{3EB7B770-DA04-4D69-AA92-4AFFF9EA5D2F}">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3" authorId="0" shapeId="0" xr:uid="{020C4D8C-3273-4F22-91DC-8958176D23A0}">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3" authorId="0" shapeId="0" xr:uid="{84044CC8-5CA6-4B0C-9753-0411167F00FF}">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3" authorId="0" shapeId="0" xr:uid="{8D04DD7F-9596-40A8-AA9C-2B143458858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3" authorId="0" shapeId="0" xr:uid="{313D709E-BC17-4CDF-A775-0463C77A4ABF}">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3" authorId="0" shapeId="0" xr:uid="{855A376C-E513-4875-90E2-3E99629F299D}">
      <text>
        <r>
          <rPr>
            <sz val="8"/>
            <color indexed="81"/>
            <rFont val="Tahoma"/>
            <family val="2"/>
          </rPr>
          <t>The Frame Type is dependant on
 Mounting Method.</t>
        </r>
      </text>
    </comment>
    <comment ref="P23" authorId="0" shapeId="0" xr:uid="{D2AE1226-FE70-4D19-AD69-71408A42F60B}">
      <text>
        <r>
          <rPr>
            <sz val="8"/>
            <color indexed="81"/>
            <rFont val="Tahoma"/>
            <family val="2"/>
          </rPr>
          <t>Side Boards/Headboards for 
Track Bi Fold or Sliding 
incur an additional charge.</t>
        </r>
      </text>
    </comment>
    <comment ref="Q23" authorId="0" shapeId="0" xr:uid="{CFD1473D-62CE-4250-A58D-4DDA5113CCC8}">
      <text>
        <r>
          <rPr>
            <sz val="8"/>
            <color indexed="81"/>
            <rFont val="Tahoma"/>
            <family val="2"/>
          </rPr>
          <t>Side Boards/Headboards for 
Track Bi Fold or Sliding 
incur an additional charge.</t>
        </r>
      </text>
    </comment>
    <comment ref="R23" authorId="0" shapeId="0" xr:uid="{493D995D-1F9D-4FBB-82D3-2BE11AD63779}">
      <text>
        <r>
          <rPr>
            <sz val="8"/>
            <color indexed="81"/>
            <rFont val="Tahoma"/>
            <family val="2"/>
          </rPr>
          <t>For Sliding, a 
Top Slide Channel 
will be suppplied.
Side Boards/Headboards for 
Track Bi Fold or Sliding 
incur an additional charge.</t>
        </r>
      </text>
    </comment>
    <comment ref="S23" authorId="0" shapeId="0" xr:uid="{B2E92704-CCA7-4ED2-A5C1-C2DB335B7578}">
      <text>
        <r>
          <rPr>
            <sz val="8"/>
            <color indexed="81"/>
            <rFont val="Tahoma"/>
            <family val="2"/>
          </rPr>
          <t>For Sliding, a 
Bottom Slide Channel 
will be suppplied.
Side Boards/Headboards for 
Track Bi Fold or Sliding 
incur an additional charge.</t>
        </r>
      </text>
    </comment>
    <comment ref="T23" authorId="0" shapeId="0" xr:uid="{27F465D4-AFE4-4230-B2D2-6B0B0721ABF9}">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3" authorId="0" shapeId="0" xr:uid="{ED6042D9-B93E-4ACC-B944-A3EF8128AC0A}">
      <text>
        <r>
          <rPr>
            <sz val="8"/>
            <color indexed="81"/>
            <rFont val="Tahoma"/>
            <family val="2"/>
          </rPr>
          <t>The Tiltrod Type 
options are;
For 
Eco Aluminium External Standard
&amp; Eco Aluminium External Lite;
Hidden Back
Hidden Front
For 
Eco Aluminium External Privacy Screen
N/A</t>
        </r>
      </text>
    </comment>
    <comment ref="Y23" authorId="0" shapeId="0" xr:uid="{D520408C-D42D-496F-9863-42238C2D2576}">
      <text>
        <r>
          <rPr>
            <sz val="8"/>
            <color indexed="81"/>
            <rFont val="Tahoma"/>
            <family val="2"/>
          </rPr>
          <t>The Flush Bolt 
options are;
For Hinged, Pivot Hinged, Sliding &amp; Track Bi Fold;
No
Silver
White
For Fixed;
N/A
For MS;
N/A</t>
        </r>
      </text>
    </comment>
    <comment ref="Z23" authorId="0" shapeId="0" xr:uid="{F4FD98E7-680A-47DB-99C2-7BE339F6E682}">
      <text>
        <r>
          <rPr>
            <sz val="8"/>
            <color indexed="81"/>
            <rFont val="Tahoma"/>
            <family val="2"/>
          </rPr>
          <t>The Flush Bolt 
Location options are;
Hinged &amp; Pivot Hinged;
Bottom
Top
Bottom &amp; Top
Sliding &amp; Track Bi Fold;
Bottom</t>
        </r>
      </text>
    </comment>
    <comment ref="B25" authorId="0" shapeId="0" xr:uid="{9DF43C02-F9A8-485F-B4CD-7A5B7E208FC9}">
      <text>
        <r>
          <rPr>
            <sz val="8"/>
            <color indexed="81"/>
            <rFont val="Tahoma"/>
            <family val="2"/>
          </rPr>
          <t>The Safety Lock 
options are;
No
Silver
For Eco Aluminium External Privacy Screen;
N/A</t>
        </r>
      </text>
    </comment>
    <comment ref="C25" authorId="0" shapeId="0" xr:uid="{DD987E92-D167-4BE0-9125-ACC6108E2FCF}">
      <text>
        <r>
          <rPr>
            <sz val="8"/>
            <color indexed="81"/>
            <rFont val="Tahoma"/>
            <family val="2"/>
          </rPr>
          <t>The Safety Lock  
Location options are;
Bottom
Top
Bottom &amp; Top
N/A</t>
        </r>
      </text>
    </comment>
    <comment ref="D25" authorId="0" shapeId="0" xr:uid="{4FF409BF-3497-4F6F-A275-078EEAE6DB88}">
      <text>
        <r>
          <rPr>
            <sz val="8"/>
            <color indexed="81"/>
            <rFont val="Tahoma"/>
            <family val="2"/>
          </rPr>
          <t>The Key Lock 
options are;
No
Silver
White
For Eco Aluminium External Privacy Screen;
N/A</t>
        </r>
      </text>
    </comment>
    <comment ref="E25" authorId="0" shapeId="0" xr:uid="{7FBBE39A-5D00-45A5-9CFD-D99D0E74371A}">
      <text>
        <r>
          <rPr>
            <sz val="8"/>
            <color indexed="81"/>
            <rFont val="Tahoma"/>
            <family val="2"/>
          </rPr>
          <t>The Louvre/Blade Lock 
options are;
No
Yes
For Eco Aluminium External Privacy Screen;
N/A</t>
        </r>
      </text>
    </comment>
    <comment ref="F25" authorId="0" shapeId="0" xr:uid="{9F59A417-17F6-47A5-8F22-504AD5501A2A}">
      <text>
        <r>
          <rPr>
            <sz val="8"/>
            <color indexed="81"/>
            <rFont val="Tahoma"/>
            <family val="2"/>
          </rPr>
          <t>Please enter the Extra Items required.</t>
        </r>
      </text>
    </comment>
    <comment ref="J25" authorId="0" shapeId="0" xr:uid="{4A7EA98C-046E-4EF6-A948-EF0B7D31354A}">
      <text>
        <r>
          <rPr>
            <sz val="8"/>
            <color indexed="81"/>
            <rFont val="Tahoma"/>
            <family val="2"/>
          </rPr>
          <t>Please enter the Special Comments required.</t>
        </r>
      </text>
    </comment>
    <comment ref="N25" authorId="0" shapeId="0" xr:uid="{3BD0505E-39F6-4C48-907A-B42646F6FBED}">
      <text>
        <r>
          <rPr>
            <sz val="8"/>
            <color indexed="81"/>
            <rFont val="Tahoma"/>
            <family val="2"/>
          </rPr>
          <t>Please enter the additional Special Comments required.</t>
        </r>
      </text>
    </comment>
    <comment ref="Q25" authorId="0" shapeId="0" xr:uid="{257369B5-26D4-46FF-9152-F70474B1923A}">
      <text>
        <r>
          <rPr>
            <sz val="8"/>
            <color indexed="81"/>
            <rFont val="Tahoma"/>
            <family val="2"/>
          </rPr>
          <t>Please enter the Additional Hardware Items required.</t>
        </r>
      </text>
    </comment>
    <comment ref="V25" authorId="0" shapeId="0" xr:uid="{3A712AE5-C124-4FFF-98BA-97F80688BC1C}">
      <text>
        <r>
          <rPr>
            <sz val="8"/>
            <color indexed="81"/>
            <rFont val="Tahoma"/>
            <family val="2"/>
          </rPr>
          <t>Please enter the General Comments required.</t>
        </r>
      </text>
    </comment>
    <comment ref="I26" authorId="0" shapeId="0" xr:uid="{02B1986F-1E57-4971-8A67-793C5D7400E1}">
      <text>
        <r>
          <rPr>
            <sz val="8"/>
            <color indexed="81"/>
            <rFont val="Tahoma"/>
            <family val="2"/>
          </rPr>
          <t>The Colour is dependent on
 the Extra Item.</t>
        </r>
      </text>
    </comment>
    <comment ref="B27" authorId="0" shapeId="0" xr:uid="{BD0C8633-3B77-4094-9070-A168EA579CA1}">
      <text>
        <r>
          <rPr>
            <sz val="8"/>
            <color indexed="81"/>
            <rFont val="Tahoma"/>
            <family val="2"/>
          </rPr>
          <t>The Safety Lock 
options are;
No
Silver
For Eco Aluminium External Privacy Screen;
N/A</t>
        </r>
      </text>
    </comment>
    <comment ref="C27" authorId="0" shapeId="0" xr:uid="{0520596D-2F1D-4FD0-BF0B-CCCD170E9B0D}">
      <text>
        <r>
          <rPr>
            <sz val="8"/>
            <color indexed="81"/>
            <rFont val="Tahoma"/>
            <family val="2"/>
          </rPr>
          <t>The Safety Lock  
Location options are;
Bottom
Top
Bottom &amp; Top
N/A</t>
        </r>
      </text>
    </comment>
    <comment ref="D27" authorId="0" shapeId="0" xr:uid="{01DD0810-996F-4F18-BFDE-7ECA75F4533B}">
      <text>
        <r>
          <rPr>
            <sz val="8"/>
            <color indexed="81"/>
            <rFont val="Tahoma"/>
            <family val="2"/>
          </rPr>
          <t>The Key Lock 
options are;
No
Silver
White
For Eco Aluminium External Privacy Screen;
N/A</t>
        </r>
      </text>
    </comment>
    <comment ref="E27" authorId="0" shapeId="0" xr:uid="{7FD24E6B-FFA9-4ADB-A56A-0D4551F2BC79}">
      <text>
        <r>
          <rPr>
            <sz val="8"/>
            <color indexed="81"/>
            <rFont val="Tahoma"/>
            <family val="2"/>
          </rPr>
          <t>The Louvre/Blade Lock 
options are;
No
Yes
For Eco Aluminium External Privacy Screen;
N/A</t>
        </r>
      </text>
    </comment>
    <comment ref="I27" authorId="0" shapeId="0" xr:uid="{07786EFD-A392-4606-BC9D-FB5B171A1314}">
      <text>
        <r>
          <rPr>
            <sz val="8"/>
            <color indexed="81"/>
            <rFont val="Tahoma"/>
            <family val="2"/>
          </rPr>
          <t>The Colour is dependent on
 the Extra Item.</t>
        </r>
      </text>
    </comment>
    <comment ref="B28" authorId="0" shapeId="0" xr:uid="{7BF4ECC0-A332-40D3-9BD5-B02CD9CE8FB5}">
      <text>
        <r>
          <rPr>
            <sz val="8"/>
            <color indexed="81"/>
            <rFont val="Tahoma"/>
            <family val="2"/>
          </rPr>
          <t>The Safety Lock 
options are;
No
Silver
For Eco Aluminium External Privacy Screen;
N/A</t>
        </r>
      </text>
    </comment>
    <comment ref="C28" authorId="0" shapeId="0" xr:uid="{7614403A-55EF-4070-B438-DC1AB460DD39}">
      <text>
        <r>
          <rPr>
            <sz val="8"/>
            <color indexed="81"/>
            <rFont val="Tahoma"/>
            <family val="2"/>
          </rPr>
          <t>The Safety Lock  
Location options are;
Bottom
Top
Bottom &amp; Top
N/A</t>
        </r>
      </text>
    </comment>
    <comment ref="D28" authorId="0" shapeId="0" xr:uid="{F65D0D8C-44A3-47C6-8AAE-EB59ED56997A}">
      <text>
        <r>
          <rPr>
            <sz val="8"/>
            <color indexed="81"/>
            <rFont val="Tahoma"/>
            <family val="2"/>
          </rPr>
          <t>The Key Lock 
options are;
No
Silver
White
For Eco Aluminium External Privacy Screen;
N/A</t>
        </r>
      </text>
    </comment>
    <comment ref="E28" authorId="0" shapeId="0" xr:uid="{E133748E-C765-4732-A933-27961AE27283}">
      <text>
        <r>
          <rPr>
            <sz val="8"/>
            <color indexed="81"/>
            <rFont val="Tahoma"/>
            <family val="2"/>
          </rPr>
          <t>The Louvre/Blade Lock 
options are;
No
Yes
For Eco Aluminium External Privacy Screen;
N/A</t>
        </r>
      </text>
    </comment>
    <comment ref="I28" authorId="0" shapeId="0" xr:uid="{51FAB160-D805-4A3A-A457-1237D042692E}">
      <text>
        <r>
          <rPr>
            <sz val="8"/>
            <color indexed="81"/>
            <rFont val="Tahoma"/>
            <family val="2"/>
          </rPr>
          <t>The Colour is dependent on
 the Extra Item.</t>
        </r>
      </text>
    </comment>
    <comment ref="B29" authorId="0" shapeId="0" xr:uid="{CA302C09-4139-41A1-A030-5DE501584725}">
      <text>
        <r>
          <rPr>
            <sz val="8"/>
            <color indexed="81"/>
            <rFont val="Tahoma"/>
            <family val="2"/>
          </rPr>
          <t>The Safety Lock 
options are;
No
Silver
For Eco Aluminium External Privacy Screen;
N/A</t>
        </r>
      </text>
    </comment>
    <comment ref="C29" authorId="0" shapeId="0" xr:uid="{8021605C-7929-4D44-ACDC-CCF33F703633}">
      <text>
        <r>
          <rPr>
            <sz val="8"/>
            <color indexed="81"/>
            <rFont val="Tahoma"/>
            <family val="2"/>
          </rPr>
          <t>The Safety Lock  
Location options are;
Bottom
Top
Bottom &amp; Top
N/A</t>
        </r>
      </text>
    </comment>
    <comment ref="D29" authorId="0" shapeId="0" xr:uid="{EC59113D-C7EE-46E0-A774-C708072C52DD}">
      <text>
        <r>
          <rPr>
            <sz val="8"/>
            <color indexed="81"/>
            <rFont val="Tahoma"/>
            <family val="2"/>
          </rPr>
          <t>The Key Lock 
options are;
No
Silver
White</t>
        </r>
      </text>
    </comment>
    <comment ref="E29" authorId="0" shapeId="0" xr:uid="{63D7DA60-B4ED-4492-ACC2-B0F6CDF3F1BA}">
      <text>
        <r>
          <rPr>
            <sz val="8"/>
            <color indexed="81"/>
            <rFont val="Tahoma"/>
            <family val="2"/>
          </rPr>
          <t>The Louvre/Blade Lock 
options are;
No
Yes
For Eco Aluminium External Privacy Screen;
N/A</t>
        </r>
      </text>
    </comment>
    <comment ref="I29" authorId="0" shapeId="0" xr:uid="{8150DA6A-12DF-46F6-B4B9-B02563580E67}">
      <text>
        <r>
          <rPr>
            <sz val="8"/>
            <color indexed="81"/>
            <rFont val="Tahoma"/>
            <family val="2"/>
          </rPr>
          <t>The Colour is dependent on
 the Extra Item.</t>
        </r>
      </text>
    </comment>
    <comment ref="B30" authorId="0" shapeId="0" xr:uid="{26AC645E-6A15-4639-ACBE-D23B1BB62E67}">
      <text>
        <r>
          <rPr>
            <sz val="8"/>
            <color indexed="81"/>
            <rFont val="Tahoma"/>
            <family val="2"/>
          </rPr>
          <t>The Safety Lock 
options are;
No
Silver
For Eco Aluminium External Privacy Screen;
N/A</t>
        </r>
      </text>
    </comment>
    <comment ref="C30" authorId="0" shapeId="0" xr:uid="{EE7DDA58-0D86-4E17-918F-E6A61307DF1D}">
      <text>
        <r>
          <rPr>
            <sz val="8"/>
            <color indexed="81"/>
            <rFont val="Tahoma"/>
            <family val="2"/>
          </rPr>
          <t>The Safety Lock  
Location options are;
Bottom
Top
Bottom &amp; Top
N/A</t>
        </r>
      </text>
    </comment>
    <comment ref="D30" authorId="0" shapeId="0" xr:uid="{8A691164-C2C7-4855-BD80-C3706058B94E}">
      <text>
        <r>
          <rPr>
            <sz val="8"/>
            <color indexed="81"/>
            <rFont val="Tahoma"/>
            <family val="2"/>
          </rPr>
          <t>The Key Lock 
options are;
No
Silver
White</t>
        </r>
      </text>
    </comment>
    <comment ref="E30" authorId="0" shapeId="0" xr:uid="{A4FAB87A-2DD2-4026-B661-8F91AE862608}">
      <text>
        <r>
          <rPr>
            <sz val="8"/>
            <color indexed="81"/>
            <rFont val="Tahoma"/>
            <family val="2"/>
          </rPr>
          <t>The Louvre/Blade Lock 
options are;
No
Yes
For Eco Aluminium External Privacy Screen;
N/A</t>
        </r>
      </text>
    </comment>
    <comment ref="I30" authorId="0" shapeId="0" xr:uid="{3E0BB389-F929-46D1-8151-0DE87210DC6F}">
      <text>
        <r>
          <rPr>
            <sz val="8"/>
            <color indexed="81"/>
            <rFont val="Tahoma"/>
            <family val="2"/>
          </rPr>
          <t>The Colour is dependent on
 the Extra Item.</t>
        </r>
      </text>
    </comment>
    <comment ref="B31" authorId="0" shapeId="0" xr:uid="{3328E58E-3BEC-483A-9F45-66FE6FA4DEE6}">
      <text>
        <r>
          <rPr>
            <sz val="8"/>
            <color indexed="81"/>
            <rFont val="Tahoma"/>
            <family val="2"/>
          </rPr>
          <t>The Safety Lock 
options are;
No
Silver
For Eco Aluminium External Privacy Screen;
N/A</t>
        </r>
      </text>
    </comment>
    <comment ref="C31" authorId="0" shapeId="0" xr:uid="{0D5CE4B1-0B35-4ABD-BE64-8FC13F43F5F6}">
      <text>
        <r>
          <rPr>
            <sz val="8"/>
            <color indexed="81"/>
            <rFont val="Tahoma"/>
            <family val="2"/>
          </rPr>
          <t>The Safety Lock  
Location options are;
Bottom
Top
Bottom &amp; Top
N/A</t>
        </r>
      </text>
    </comment>
    <comment ref="D31" authorId="0" shapeId="0" xr:uid="{763F5769-60FF-4CAE-B7E3-9675AA32F172}">
      <text>
        <r>
          <rPr>
            <sz val="8"/>
            <color indexed="81"/>
            <rFont val="Tahoma"/>
            <family val="2"/>
          </rPr>
          <t>The Key Lock 
options are;
No
Silver
White</t>
        </r>
      </text>
    </comment>
    <comment ref="E31" authorId="0" shapeId="0" xr:uid="{2BC8C7B1-3DF8-4770-B2E5-6F0F1D62AACD}">
      <text>
        <r>
          <rPr>
            <sz val="8"/>
            <color indexed="81"/>
            <rFont val="Tahoma"/>
            <family val="2"/>
          </rPr>
          <t>The Louvre/Blade Lock 
options are;
No
Yes
For Eco Aluminium External Privacy Screen;
N/A</t>
        </r>
      </text>
    </comment>
    <comment ref="I31" authorId="0" shapeId="0" xr:uid="{E96593CB-1676-415A-B61F-F1140E7C4077}">
      <text>
        <r>
          <rPr>
            <sz val="8"/>
            <color indexed="81"/>
            <rFont val="Tahoma"/>
            <family val="2"/>
          </rPr>
          <t>The Colour is dependent on
 the Extra Item.</t>
        </r>
      </text>
    </comment>
    <comment ref="B32" authorId="0" shapeId="0" xr:uid="{8C786A5E-06F8-4E97-9A25-00E31EBA4737}">
      <text>
        <r>
          <rPr>
            <sz val="8"/>
            <color indexed="81"/>
            <rFont val="Tahoma"/>
            <family val="2"/>
          </rPr>
          <t>The Safety Lock 
options are;
No
Silver
For Eco Aluminium External Privacy Screen;
N/A</t>
        </r>
      </text>
    </comment>
    <comment ref="C32" authorId="0" shapeId="0" xr:uid="{62670C1E-2483-4C8D-9CBA-C0D03CAB0ADE}">
      <text>
        <r>
          <rPr>
            <sz val="8"/>
            <color indexed="81"/>
            <rFont val="Tahoma"/>
            <family val="2"/>
          </rPr>
          <t>The Safety Lock  
Location options are;
Bottom
Top
Bottom &amp; Top
N/A</t>
        </r>
      </text>
    </comment>
    <comment ref="D32" authorId="0" shapeId="0" xr:uid="{BE36582C-5483-479C-BA90-333E63E81D96}">
      <text>
        <r>
          <rPr>
            <sz val="8"/>
            <color indexed="81"/>
            <rFont val="Tahoma"/>
            <family val="2"/>
          </rPr>
          <t>The Key Lock 
options are;
No
Silver
White</t>
        </r>
      </text>
    </comment>
    <comment ref="E32" authorId="0" shapeId="0" xr:uid="{81DB870B-D5E8-4121-96ED-29508F170415}">
      <text>
        <r>
          <rPr>
            <sz val="8"/>
            <color indexed="81"/>
            <rFont val="Tahoma"/>
            <family val="2"/>
          </rPr>
          <t>The Louvre/Blade Lock 
options are;
No
Yes
For Eco Aluminium External Privacy Screen;
N/A</t>
        </r>
      </text>
    </comment>
    <comment ref="I32" authorId="0" shapeId="0" xr:uid="{37E3434A-3DD5-4D37-850E-7019E80B6BB6}">
      <text>
        <r>
          <rPr>
            <sz val="8"/>
            <color indexed="81"/>
            <rFont val="Tahoma"/>
            <family val="2"/>
          </rPr>
          <t>The Colour is dependent on
 the Extra Item.</t>
        </r>
      </text>
    </comment>
    <comment ref="B33" authorId="0" shapeId="0" xr:uid="{ECFDAEC4-335C-41E5-8E8B-54134C7CB13E}">
      <text>
        <r>
          <rPr>
            <sz val="8"/>
            <color indexed="81"/>
            <rFont val="Tahoma"/>
            <family val="2"/>
          </rPr>
          <t>The Safety Lock 
options are;
No
Silver
For Eco Aluminium External Privacy Screen;
N/A</t>
        </r>
      </text>
    </comment>
    <comment ref="C33" authorId="0" shapeId="0" xr:uid="{F18EE36B-DBED-42FB-8A75-077FC71626EC}">
      <text>
        <r>
          <rPr>
            <sz val="8"/>
            <color indexed="81"/>
            <rFont val="Tahoma"/>
            <family val="2"/>
          </rPr>
          <t>The Safety Lock  
Location options are;
Bottom
Top
Bottom &amp; Top
N/A</t>
        </r>
      </text>
    </comment>
    <comment ref="D33" authorId="0" shapeId="0" xr:uid="{C03F9071-30A0-4DAE-B251-01E6FF9B1A0B}">
      <text>
        <r>
          <rPr>
            <sz val="8"/>
            <color indexed="81"/>
            <rFont val="Tahoma"/>
            <family val="2"/>
          </rPr>
          <t>The Key Lock 
options are;
No
Silver
White</t>
        </r>
      </text>
    </comment>
    <comment ref="E33" authorId="0" shapeId="0" xr:uid="{A1C63652-61D5-4492-B8F6-A3CD2D5C9AAB}">
      <text>
        <r>
          <rPr>
            <sz val="8"/>
            <color indexed="81"/>
            <rFont val="Tahoma"/>
            <family val="2"/>
          </rPr>
          <t>The Louvre/Blade Lock 
options are;
No
Yes
For Eco Aluminium External Privacy Screen;
N/A</t>
        </r>
      </text>
    </comment>
    <comment ref="I33" authorId="0" shapeId="0" xr:uid="{775E76E1-CAFF-4745-8682-2C1C45D6C470}">
      <text>
        <r>
          <rPr>
            <sz val="8"/>
            <color indexed="81"/>
            <rFont val="Tahoma"/>
            <family val="2"/>
          </rPr>
          <t>The Colour is dependent on
 the Extra Item.</t>
        </r>
      </text>
    </comment>
    <comment ref="B34" authorId="0" shapeId="0" xr:uid="{0CF173EB-3D61-491F-B428-F647C57BC7B9}">
      <text>
        <r>
          <rPr>
            <sz val="8"/>
            <color indexed="81"/>
            <rFont val="Tahoma"/>
            <family val="2"/>
          </rPr>
          <t>The Safety Lock 
options are;
No
Silver
For Eco Aluminium External Privacy Screen;
N/A</t>
        </r>
      </text>
    </comment>
    <comment ref="C34" authorId="0" shapeId="0" xr:uid="{BD2216BC-A6EF-40EB-83C7-8F5EFBF0462B}">
      <text>
        <r>
          <rPr>
            <sz val="8"/>
            <color indexed="81"/>
            <rFont val="Tahoma"/>
            <family val="2"/>
          </rPr>
          <t>The Safety Lock  
Location options are;
Bottom
Top
Bottom &amp; Top
N/A</t>
        </r>
      </text>
    </comment>
    <comment ref="D34" authorId="0" shapeId="0" xr:uid="{21B68FF7-DC6A-4D15-BD29-B4C78D27AFB7}">
      <text>
        <r>
          <rPr>
            <sz val="8"/>
            <color indexed="81"/>
            <rFont val="Tahoma"/>
            <family val="2"/>
          </rPr>
          <t>The Key Lock 
options are;
No
Silver
White</t>
        </r>
      </text>
    </comment>
    <comment ref="E34" authorId="0" shapeId="0" xr:uid="{56491FD5-2E5B-470B-8F16-3310094C5FD6}">
      <text>
        <r>
          <rPr>
            <sz val="8"/>
            <color indexed="81"/>
            <rFont val="Tahoma"/>
            <family val="2"/>
          </rPr>
          <t>The Louvre/Blade Lock 
options are;
No
Yes
For Eco Aluminium External Privacy Screen;
N/A</t>
        </r>
      </text>
    </comment>
    <comment ref="I34" authorId="0" shapeId="0" xr:uid="{5D5A9B63-BD8D-49C4-AE2D-22D38E747B6E}">
      <text>
        <r>
          <rPr>
            <sz val="8"/>
            <color indexed="81"/>
            <rFont val="Tahoma"/>
            <family val="2"/>
          </rPr>
          <t>The Colour is dependent on
 the Extra Item.</t>
        </r>
      </text>
    </comment>
    <comment ref="B35" authorId="0" shapeId="0" xr:uid="{023C3DD6-75C8-4AED-B790-4349AC4F927A}">
      <text>
        <r>
          <rPr>
            <sz val="8"/>
            <color indexed="81"/>
            <rFont val="Tahoma"/>
            <family val="2"/>
          </rPr>
          <t>The Safety Lock 
options are;
No
Silver
For Eco Aluminium External Privacy Screen;
N/A</t>
        </r>
      </text>
    </comment>
    <comment ref="C35" authorId="0" shapeId="0" xr:uid="{0DB9F6D2-581A-4BBA-8F4C-44E280F2005A}">
      <text>
        <r>
          <rPr>
            <sz val="8"/>
            <color indexed="81"/>
            <rFont val="Tahoma"/>
            <family val="2"/>
          </rPr>
          <t>The Safety Lock  
Location options are;
Bottom
Top
Bottom &amp; Top
N/A</t>
        </r>
      </text>
    </comment>
    <comment ref="D35" authorId="0" shapeId="0" xr:uid="{74C264C1-1AA7-476A-9306-39072165747C}">
      <text>
        <r>
          <rPr>
            <sz val="8"/>
            <color indexed="81"/>
            <rFont val="Tahoma"/>
            <family val="2"/>
          </rPr>
          <t>The Key Lock 
options are;
No
Silver
White</t>
        </r>
      </text>
    </comment>
    <comment ref="E35" authorId="0" shapeId="0" xr:uid="{F14A197E-5F0E-4201-AEB8-B25C06425B33}">
      <text>
        <r>
          <rPr>
            <sz val="8"/>
            <color indexed="81"/>
            <rFont val="Tahoma"/>
            <family val="2"/>
          </rPr>
          <t>The Louvre/Blade Lock 
options are;
No
Yes
For Eco Aluminium External Privacy Screen;
N/A</t>
        </r>
      </text>
    </comment>
    <comment ref="I35" authorId="0" shapeId="0" xr:uid="{819E4B92-B7E8-446C-9730-AF8B849CAC3E}">
      <text>
        <r>
          <rPr>
            <sz val="8"/>
            <color indexed="81"/>
            <rFont val="Tahoma"/>
            <family val="2"/>
          </rPr>
          <t>The Colour is dependent on
 the Extra Item.</t>
        </r>
      </text>
    </comment>
    <comment ref="B36" authorId="0" shapeId="0" xr:uid="{B348E478-851F-437E-BBAE-4DCFBA7F6EF5}">
      <text>
        <r>
          <rPr>
            <sz val="8"/>
            <color indexed="81"/>
            <rFont val="Tahoma"/>
            <family val="2"/>
          </rPr>
          <t>The Safety Lock 
options are;
No
Silver
For Eco Aluminium External Privacy Screen;
N/A</t>
        </r>
      </text>
    </comment>
    <comment ref="C36" authorId="0" shapeId="0" xr:uid="{B5CAEF5E-47DD-4376-8EAB-99FC0B8B17AF}">
      <text>
        <r>
          <rPr>
            <sz val="8"/>
            <color indexed="81"/>
            <rFont val="Tahoma"/>
            <family val="2"/>
          </rPr>
          <t>The Safety Lock  
Location options are;
Bottom
Top
Bottom &amp; Top
N/A</t>
        </r>
      </text>
    </comment>
    <comment ref="D36" authorId="0" shapeId="0" xr:uid="{BC1733F1-0045-47FC-A9CF-2A0928CE1FF0}">
      <text>
        <r>
          <rPr>
            <sz val="8"/>
            <color indexed="81"/>
            <rFont val="Tahoma"/>
            <family val="2"/>
          </rPr>
          <t>The Key Lock 
options are;
No
Silver
White</t>
        </r>
      </text>
    </comment>
    <comment ref="E36" authorId="0" shapeId="0" xr:uid="{5A3E782E-BDEC-4872-9138-8F33B647CC8A}">
      <text>
        <r>
          <rPr>
            <sz val="8"/>
            <color indexed="81"/>
            <rFont val="Tahoma"/>
            <family val="2"/>
          </rPr>
          <t>The Louvre/Blade Lock 
options are;
No
Yes
For Eco Aluminium External Privacy Screen;
N/A</t>
        </r>
      </text>
    </comment>
    <comment ref="I36" authorId="0" shapeId="0" xr:uid="{B66E8D6E-8697-4931-9656-DC61FF127E8D}">
      <text>
        <r>
          <rPr>
            <sz val="8"/>
            <color indexed="81"/>
            <rFont val="Tahoma"/>
            <family val="2"/>
          </rPr>
          <t>The Colour is dependent on
 the Extra Item.</t>
        </r>
      </text>
    </comment>
    <comment ref="B37" authorId="0" shapeId="0" xr:uid="{E3247398-423E-4622-81FF-DB8AA1B9C4A6}">
      <text>
        <r>
          <rPr>
            <sz val="8"/>
            <color indexed="81"/>
            <rFont val="Tahoma"/>
            <family val="2"/>
          </rPr>
          <t>The Safety Lock 
options are;
No
Silver
For Eco Aluminium External Privacy Screen;
N/A</t>
        </r>
      </text>
    </comment>
    <comment ref="C37" authorId="0" shapeId="0" xr:uid="{4552A435-B380-4C89-BE56-D0DF1543C23E}">
      <text>
        <r>
          <rPr>
            <sz val="8"/>
            <color indexed="81"/>
            <rFont val="Tahoma"/>
            <family val="2"/>
          </rPr>
          <t>The Safety Lock  
Location options are;
Bottom
Top
Bottom &amp; Top
N/A</t>
        </r>
      </text>
    </comment>
    <comment ref="D37" authorId="0" shapeId="0" xr:uid="{74AF59C9-5996-490B-B88F-3DD246406E25}">
      <text>
        <r>
          <rPr>
            <sz val="8"/>
            <color indexed="81"/>
            <rFont val="Tahoma"/>
            <family val="2"/>
          </rPr>
          <t>The Key Lock 
options are;
No
Silver
White</t>
        </r>
      </text>
    </comment>
    <comment ref="E37" authorId="0" shapeId="0" xr:uid="{A4C24DCA-5E87-4C60-93A0-0BACDC505DF1}">
      <text>
        <r>
          <rPr>
            <sz val="8"/>
            <color indexed="81"/>
            <rFont val="Tahoma"/>
            <family val="2"/>
          </rPr>
          <t>The Louvre/Blade Lock 
options are;
No
Yes
For Eco Aluminium External Privacy Screen;
N/A</t>
        </r>
      </text>
    </comment>
    <comment ref="I37" authorId="0" shapeId="0" xr:uid="{611FE533-1A36-497E-905C-D78FBDAECB6D}">
      <text>
        <r>
          <rPr>
            <sz val="8"/>
            <color indexed="81"/>
            <rFont val="Tahoma"/>
            <family val="2"/>
          </rPr>
          <t>The Colour is dependent on
 the Extra Item.</t>
        </r>
      </text>
    </comment>
    <comment ref="B38" authorId="0" shapeId="0" xr:uid="{97F6EF86-EDC1-496D-A566-91AF3E7E17DF}">
      <text>
        <r>
          <rPr>
            <sz val="8"/>
            <color indexed="81"/>
            <rFont val="Tahoma"/>
            <family val="2"/>
          </rPr>
          <t>The Safety Lock 
options are;
No
Silver
For Eco Aluminium External Privacy Screen;
N/A</t>
        </r>
      </text>
    </comment>
    <comment ref="C38" authorId="0" shapeId="0" xr:uid="{34C90935-4975-45C4-AEF9-6AF44CCEBCAA}">
      <text>
        <r>
          <rPr>
            <sz val="8"/>
            <color indexed="81"/>
            <rFont val="Tahoma"/>
            <family val="2"/>
          </rPr>
          <t>The Safety Lock  
Location options are;
Bottom
Top
Bottom &amp; Top
N/A</t>
        </r>
      </text>
    </comment>
    <comment ref="D38" authorId="0" shapeId="0" xr:uid="{8C0171E2-9238-4F49-AD4A-634F81E14C05}">
      <text>
        <r>
          <rPr>
            <sz val="8"/>
            <color indexed="81"/>
            <rFont val="Tahoma"/>
            <family val="2"/>
          </rPr>
          <t>The Key Lock 
options are;
No
Silver
White</t>
        </r>
      </text>
    </comment>
    <comment ref="E38" authorId="0" shapeId="0" xr:uid="{E664456C-2253-4449-B2F0-61F3992D7D4E}">
      <text>
        <r>
          <rPr>
            <sz val="8"/>
            <color indexed="81"/>
            <rFont val="Tahoma"/>
            <family val="2"/>
          </rPr>
          <t>The Louvre/Blade Lock 
options are;
No
Yes
For Eco Aluminium External Privacy Screen;
N/A</t>
        </r>
      </text>
    </comment>
    <comment ref="I38" authorId="0" shapeId="0" xr:uid="{058638DE-AE3D-4C82-81DB-FC0DD2259305}">
      <text>
        <r>
          <rPr>
            <sz val="8"/>
            <color indexed="81"/>
            <rFont val="Tahoma"/>
            <family val="2"/>
          </rPr>
          <t>The Colour is dependent on
 the Extra Item.</t>
        </r>
      </text>
    </comment>
    <comment ref="B39" authorId="0" shapeId="0" xr:uid="{B3F2EC2C-C9B5-44D4-9ABD-37160DA4846F}">
      <text>
        <r>
          <rPr>
            <sz val="8"/>
            <color indexed="81"/>
            <rFont val="Tahoma"/>
            <family val="2"/>
          </rPr>
          <t>The Safety Lock 
options are;
No
Silver
For Eco Aluminium External Privacy Screen;
N/A</t>
        </r>
      </text>
    </comment>
    <comment ref="C39" authorId="0" shapeId="0" xr:uid="{5F1343EB-0629-4157-8260-D93CF66E35BB}">
      <text>
        <r>
          <rPr>
            <sz val="8"/>
            <color indexed="81"/>
            <rFont val="Tahoma"/>
            <family val="2"/>
          </rPr>
          <t>The Safety Lock  
Location options are;
Bottom
Top
Bottom &amp; Top
N/A</t>
        </r>
      </text>
    </comment>
    <comment ref="D39" authorId="0" shapeId="0" xr:uid="{DAF87DB9-E71C-41B1-BECA-EC3D9A15D3FC}">
      <text>
        <r>
          <rPr>
            <sz val="8"/>
            <color indexed="81"/>
            <rFont val="Tahoma"/>
            <family val="2"/>
          </rPr>
          <t>The Key Lock 
options are;
No
Silver
White</t>
        </r>
      </text>
    </comment>
    <comment ref="E39" authorId="0" shapeId="0" xr:uid="{5A696024-F9E2-4E1C-920A-E4668B524C58}">
      <text>
        <r>
          <rPr>
            <sz val="8"/>
            <color indexed="81"/>
            <rFont val="Tahoma"/>
            <family val="2"/>
          </rPr>
          <t>The Louvre/Blade Lock 
options are;
No
Yes
For Eco Aluminium External Privacy Screen;
N/A</t>
        </r>
      </text>
    </comment>
    <comment ref="I39" authorId="0" shapeId="0" xr:uid="{D1C46391-8998-4842-BD6F-5C4591F5214B}">
      <text>
        <r>
          <rPr>
            <sz val="8"/>
            <color indexed="81"/>
            <rFont val="Tahoma"/>
            <family val="2"/>
          </rPr>
          <t>The Colour is dependent on
 the Extra Item.</t>
        </r>
      </text>
    </comment>
    <comment ref="B40" authorId="0" shapeId="0" xr:uid="{E6F4A438-CC26-4184-9159-4B88F59DB1F3}">
      <text>
        <r>
          <rPr>
            <sz val="8"/>
            <color indexed="81"/>
            <rFont val="Tahoma"/>
            <family val="2"/>
          </rPr>
          <t>The Safety Lock 
options are;
No
Silver
For Eco Aluminium External Privacy Screen;
N/A</t>
        </r>
      </text>
    </comment>
    <comment ref="C40" authorId="0" shapeId="0" xr:uid="{CA6DA23D-B1FC-43BB-9E62-D811F488E01A}">
      <text>
        <r>
          <rPr>
            <sz val="8"/>
            <color indexed="81"/>
            <rFont val="Tahoma"/>
            <family val="2"/>
          </rPr>
          <t>The Safety Lock  
Location options are;
Bottom
Top
Bottom &amp; Top
N/A</t>
        </r>
      </text>
    </comment>
    <comment ref="D40" authorId="0" shapeId="0" xr:uid="{0AE40276-03C9-40DC-8542-E789DEB68411}">
      <text>
        <r>
          <rPr>
            <sz val="8"/>
            <color indexed="81"/>
            <rFont val="Tahoma"/>
            <family val="2"/>
          </rPr>
          <t>The Key Lock 
options are;
No
Silver
White</t>
        </r>
      </text>
    </comment>
    <comment ref="E40" authorId="0" shapeId="0" xr:uid="{749D1645-2792-4CB2-AA62-63FE7F02B792}">
      <text>
        <r>
          <rPr>
            <sz val="8"/>
            <color indexed="81"/>
            <rFont val="Tahoma"/>
            <family val="2"/>
          </rPr>
          <t>The Louvre/Blade Lock 
options are;
No
Yes
For Eco Aluminium External Privacy Screen;
N/A</t>
        </r>
      </text>
    </comment>
    <comment ref="I40" authorId="0" shapeId="0" xr:uid="{053351AD-63B5-4408-AAF9-B2DDFE787E6C}">
      <text>
        <r>
          <rPr>
            <sz val="8"/>
            <color indexed="81"/>
            <rFont val="Tahoma"/>
            <family val="2"/>
          </rPr>
          <t>The Colour is dependent on
 the Extra Item.</t>
        </r>
      </text>
    </comment>
    <comment ref="B41" authorId="0" shapeId="0" xr:uid="{0EFF7447-4F11-4CC7-ADE6-4DDA8B49FCE2}">
      <text>
        <r>
          <rPr>
            <sz val="8"/>
            <color indexed="81"/>
            <rFont val="Tahoma"/>
            <family val="2"/>
          </rPr>
          <t>The Safety Lock 
options are;
No
Silver
For Eco Aluminium External Privacy Screen;
N/A</t>
        </r>
      </text>
    </comment>
    <comment ref="C41" authorId="0" shapeId="0" xr:uid="{BFD1CEB8-B9EA-47BB-A7A7-91A1EF1A254A}">
      <text>
        <r>
          <rPr>
            <sz val="8"/>
            <color indexed="81"/>
            <rFont val="Tahoma"/>
            <family val="2"/>
          </rPr>
          <t>The Safety Lock  
Location options are;
Bottom
Top
Bottom &amp; Top
N/A</t>
        </r>
      </text>
    </comment>
    <comment ref="D41" authorId="0" shapeId="0" xr:uid="{43A464E5-01AC-406F-957B-3453F658C0C8}">
      <text>
        <r>
          <rPr>
            <sz val="8"/>
            <color indexed="81"/>
            <rFont val="Tahoma"/>
            <family val="2"/>
          </rPr>
          <t>The Key Lock 
options are;
No
Silver
White</t>
        </r>
      </text>
    </comment>
    <comment ref="E41" authorId="0" shapeId="0" xr:uid="{369B466C-8AE4-4DC7-845E-B1103E4B01F3}">
      <text>
        <r>
          <rPr>
            <sz val="8"/>
            <color indexed="81"/>
            <rFont val="Tahoma"/>
            <family val="2"/>
          </rPr>
          <t>The Louvre/Blade Lock 
options are;
No
Yes
For Eco Aluminium External Privacy Screen;
N/A</t>
        </r>
      </text>
    </comment>
    <comment ref="I41" authorId="0" shapeId="0" xr:uid="{34166F19-D870-4A4B-92F0-E90632ADF058}">
      <text>
        <r>
          <rPr>
            <sz val="8"/>
            <color indexed="81"/>
            <rFont val="Tahoma"/>
            <family val="2"/>
          </rPr>
          <t>The Colour is dependent on
 the Extra Item.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Q1" authorId="0" shapeId="0" xr:uid="{00000000-0006-0000-0300-000001000000}">
      <text>
        <r>
          <rPr>
            <sz val="9"/>
            <color indexed="81"/>
            <rFont val="Tahoma"/>
            <family val="2"/>
          </rPr>
          <t>Please enter the number of Pages 
in this Order.
e.g.  Page: 1 Of 2</t>
        </r>
      </text>
    </comment>
    <comment ref="E8" authorId="0" shapeId="0" xr:uid="{00000000-0006-0000-0300-000002000000}">
      <text>
        <r>
          <rPr>
            <sz val="9"/>
            <color indexed="81"/>
            <rFont val="Tahoma"/>
            <family val="2"/>
          </rPr>
          <t>These values are 
calculated automatically 
by Specification.</t>
        </r>
      </text>
    </comment>
    <comment ref="C9" authorId="0" shapeId="0" xr:uid="{00000000-0006-0000-0300-000003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9" authorId="0" shapeId="0" xr:uid="{00000000-0006-0000-0300-000004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0" authorId="0" shapeId="0" xr:uid="{00000000-0006-0000-0300-000005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0" authorId="0" shapeId="0" xr:uid="{00000000-0006-0000-0300-000006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1" authorId="0" shapeId="0" xr:uid="{00000000-0006-0000-0300-000007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1" authorId="0" shapeId="0" xr:uid="{00000000-0006-0000-0300-000008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2" authorId="0" shapeId="0" xr:uid="{00000000-0006-0000-0300-000009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2" authorId="0" shapeId="0" xr:uid="{00000000-0006-0000-0300-00000A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3" authorId="0" shapeId="0" xr:uid="{00000000-0006-0000-0300-00000B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3" authorId="0" shapeId="0" xr:uid="{00000000-0006-0000-0300-00000C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4" authorId="0" shapeId="0" xr:uid="{00000000-0006-0000-0300-00000D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4" authorId="0" shapeId="0" xr:uid="{00000000-0006-0000-0300-00000E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5" authorId="0" shapeId="0" xr:uid="{00000000-0006-0000-0300-00000F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5" authorId="0" shapeId="0" xr:uid="{00000000-0006-0000-0300-000010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6" authorId="0" shapeId="0" xr:uid="{00000000-0006-0000-0300-000011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6" authorId="0" shapeId="0" xr:uid="{00000000-0006-0000-0300-000012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7" authorId="0" shapeId="0" xr:uid="{00000000-0006-0000-0300-000013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7" authorId="0" shapeId="0" xr:uid="{00000000-0006-0000-0300-000014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8" authorId="0" shapeId="0" xr:uid="{00000000-0006-0000-0300-000015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8" authorId="0" shapeId="0" xr:uid="{00000000-0006-0000-0300-000016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9" authorId="0" shapeId="0" xr:uid="{00000000-0006-0000-0300-000017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9" authorId="0" shapeId="0" xr:uid="{00000000-0006-0000-0300-000018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20" authorId="0" shapeId="0" xr:uid="{00000000-0006-0000-0300-000019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20" authorId="0" shapeId="0" xr:uid="{00000000-0006-0000-0300-00001A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List>
</comments>
</file>

<file path=xl/sharedStrings.xml><?xml version="1.0" encoding="utf-8"?>
<sst xmlns="http://schemas.openxmlformats.org/spreadsheetml/2006/main" count="1013" uniqueCount="555">
  <si>
    <t>m2</t>
  </si>
  <si>
    <t>Blade Size</t>
  </si>
  <si>
    <t>Layout Code</t>
  </si>
  <si>
    <t>Item #</t>
  </si>
  <si>
    <t>Hinge Colour</t>
  </si>
  <si>
    <t>CUSTOMER NAME:</t>
  </si>
  <si>
    <t>DATE:</t>
  </si>
  <si>
    <t>Colour</t>
  </si>
  <si>
    <t>Mid Rail
Height</t>
  </si>
  <si>
    <t>Frame Type</t>
  </si>
  <si>
    <t>STORE NAME:</t>
  </si>
  <si>
    <t>M2</t>
  </si>
  <si>
    <t>DELIVERY ADDRESS:</t>
  </si>
  <si>
    <t>Mounting
Method</t>
  </si>
  <si>
    <t>Gross Open Width</t>
  </si>
  <si>
    <t>Gross Open Height</t>
  </si>
  <si>
    <t>1st Post</t>
  </si>
  <si>
    <t>2nd
Post</t>
  </si>
  <si>
    <t>3rd
Post</t>
  </si>
  <si>
    <t>Yes</t>
  </si>
  <si>
    <t>4T</t>
  </si>
  <si>
    <t>1 Of 1</t>
  </si>
  <si>
    <t>Top</t>
  </si>
  <si>
    <t>IN</t>
  </si>
  <si>
    <t>MS</t>
  </si>
  <si>
    <t>OUT</t>
  </si>
  <si>
    <t>N/A</t>
  </si>
  <si>
    <t>L Frame</t>
  </si>
  <si>
    <t>Sliding System</t>
  </si>
  <si>
    <t>U Channel</t>
  </si>
  <si>
    <t>No</t>
  </si>
  <si>
    <t>1H</t>
  </si>
  <si>
    <t>1T</t>
  </si>
  <si>
    <t>2H</t>
  </si>
  <si>
    <t>2T</t>
  </si>
  <si>
    <t>3H</t>
  </si>
  <si>
    <t>3T</t>
  </si>
  <si>
    <t>4H</t>
  </si>
  <si>
    <t>IN_2</t>
  </si>
  <si>
    <t>IN_3</t>
  </si>
  <si>
    <t>OUT_2</t>
  </si>
  <si>
    <t>MS_2</t>
  </si>
  <si>
    <t>OUT_3</t>
  </si>
  <si>
    <t>MS_3</t>
  </si>
  <si>
    <t>Fixed</t>
  </si>
  <si>
    <t>Sliding</t>
  </si>
  <si>
    <t>Hinged</t>
  </si>
  <si>
    <t>IN_1</t>
  </si>
  <si>
    <t>OUT_1</t>
  </si>
  <si>
    <t>MS_1</t>
  </si>
  <si>
    <t>Bottom Wheel Connector</t>
  </si>
  <si>
    <t>Bottom Wheel</t>
  </si>
  <si>
    <t>Wheel</t>
  </si>
  <si>
    <t>Top Pivot</t>
  </si>
  <si>
    <t>Bottom Pivot</t>
  </si>
  <si>
    <t>Floor Bracket</t>
  </si>
  <si>
    <t>Bottom Guide</t>
  </si>
  <si>
    <t>Magnet Sets</t>
  </si>
  <si>
    <t>Spring Pins</t>
  </si>
  <si>
    <t>Flush Bolt Lock</t>
  </si>
  <si>
    <t>Hardware</t>
  </si>
  <si>
    <t>Item</t>
  </si>
  <si>
    <t>Quantity</t>
  </si>
  <si>
    <t>Extra H - Angle 4 20mm x 12mm</t>
  </si>
  <si>
    <t>Extra G - Angle 3 25mm x 20mm</t>
  </si>
  <si>
    <t>Extra F - Angle 2 40mm x 20mm</t>
  </si>
  <si>
    <t>Extra E - Angle 1 40mm x 40mm</t>
  </si>
  <si>
    <t>White Birch</t>
  </si>
  <si>
    <t>H Frame 65mm x 53.3mm</t>
  </si>
  <si>
    <t>Precious Silver</t>
  </si>
  <si>
    <t>U Channel 53.6mm x 30mm</t>
  </si>
  <si>
    <t>Pearl White</t>
  </si>
  <si>
    <t>Black</t>
  </si>
  <si>
    <t>Line_Item_Number</t>
  </si>
  <si>
    <t>mm</t>
  </si>
  <si>
    <t>Bottom Blade Hole To End</t>
  </si>
  <si>
    <t>Top Blade Hole To End</t>
  </si>
  <si>
    <t>Top Gap Between Blade &amp; U Channel</t>
  </si>
  <si>
    <t>Actual Gap Bottom (Between U Channel &amp; Blade)</t>
  </si>
  <si>
    <t>Total</t>
  </si>
  <si>
    <t>Bottom Gap Between Blade &amp; U Channel</t>
  </si>
  <si>
    <t>Actual Gap Top (Between U Channel &amp; Blade)</t>
  </si>
  <si>
    <t>Additional Bottom Gap</t>
  </si>
  <si>
    <t>Top &amp; Bottom Gap &amp; Channel Allowances Sub-Total</t>
  </si>
  <si>
    <t>Bottom Addition</t>
  </si>
  <si>
    <t>Additional Top Gap</t>
  </si>
  <si>
    <t>Top Gap</t>
  </si>
  <si>
    <t>Top Addition</t>
  </si>
  <si>
    <t>Standard Top Gap</t>
  </si>
  <si>
    <t>Bottom Gap</t>
  </si>
  <si>
    <t>Difference</t>
  </si>
  <si>
    <t>Standard Bottom Gap</t>
  </si>
  <si>
    <t xml:space="preserve">Top U Channel </t>
  </si>
  <si>
    <t>%</t>
  </si>
  <si>
    <t>Gap Split Bottom</t>
  </si>
  <si>
    <t>Bottom U Channel</t>
  </si>
  <si>
    <t>Gap Split Top</t>
  </si>
  <si>
    <t>Bottom Hole Of Bottom Blade To Bottom Hole Of Top Blade</t>
  </si>
  <si>
    <t>Top Allowance (Bottom Hole Of Top Blade To Top Hole Of Bottom Blade)</t>
  </si>
  <si>
    <t>Qty</t>
  </si>
  <si>
    <t>Number Of Blades</t>
  </si>
  <si>
    <t>Pitch (Blade Bottom Hole To Blade Top Hole)</t>
  </si>
  <si>
    <t>Perfect Shutter Height</t>
  </si>
  <si>
    <t>Check</t>
  </si>
  <si>
    <t>Actual</t>
  </si>
  <si>
    <t>Sub-Total</t>
  </si>
  <si>
    <t>Measurement</t>
  </si>
  <si>
    <t>Calculations Check</t>
  </si>
  <si>
    <t>Allowances</t>
  </si>
  <si>
    <t>Blade Number</t>
  </si>
  <si>
    <t>Actual Panel Height</t>
  </si>
  <si>
    <t>Unit</t>
  </si>
  <si>
    <t>Line 11</t>
  </si>
  <si>
    <t>Line 10</t>
  </si>
  <si>
    <t>Line 9</t>
  </si>
  <si>
    <t>Line 8</t>
  </si>
  <si>
    <t>Line 7</t>
  </si>
  <si>
    <t>Line 6</t>
  </si>
  <si>
    <t>Line 5</t>
  </si>
  <si>
    <t>Line 4</t>
  </si>
  <si>
    <t>Line 3</t>
  </si>
  <si>
    <t>Line 2</t>
  </si>
  <si>
    <t>Line 1</t>
  </si>
  <si>
    <t>Notes</t>
  </si>
  <si>
    <t>Length</t>
  </si>
  <si>
    <t>Location</t>
  </si>
  <si>
    <t>H Frame
65mm x 53.3mm
Quantity</t>
  </si>
  <si>
    <t>H Frame
65mm x 53.3mm
Length</t>
  </si>
  <si>
    <t>U Channel 
53.6mm x 30mm
Quantity</t>
  </si>
  <si>
    <t>U Channel 
53.6mm x 30mm
Length</t>
  </si>
  <si>
    <t>Mounting Brackets
Quantity</t>
  </si>
  <si>
    <t>Panel 
Quantity</t>
  </si>
  <si>
    <t>Blade Quantity</t>
  </si>
  <si>
    <t>Panel 
Height</t>
  </si>
  <si>
    <t>Panel 
Width</t>
  </si>
  <si>
    <t>Required For Joining Panels</t>
  </si>
  <si>
    <t>Specification Values</t>
  </si>
  <si>
    <t>CUSTOMER / ACCOUNT NAME:</t>
  </si>
  <si>
    <t>SUPPLIER:</t>
  </si>
  <si>
    <t>Pacific Wholesale Distributors. Tel. +61 2 9680 7999 (Reception)</t>
  </si>
  <si>
    <t>PROMOTION NO.:</t>
  </si>
  <si>
    <t>PRODUCT SUMMARY PAGE</t>
  </si>
  <si>
    <t>PRODUCT - INTERNAL</t>
  </si>
  <si>
    <t>QTY ORDERED</t>
  </si>
  <si>
    <t>TAB COLOUR</t>
  </si>
  <si>
    <t>Red</t>
  </si>
  <si>
    <r>
      <t xml:space="preserve">PACIFIC SALES COORDINATOR </t>
    </r>
    <r>
      <rPr>
        <b/>
        <i/>
        <sz val="10"/>
        <rFont val="Arial"/>
        <family val="2"/>
      </rPr>
      <t>(PWD Internal Use)</t>
    </r>
  </si>
  <si>
    <t>Orange</t>
  </si>
  <si>
    <t>PACIFIC SALES COORDINATOR</t>
  </si>
  <si>
    <t>PWD ORDER NO.:</t>
  </si>
  <si>
    <t>SALES ORDER NO.:</t>
  </si>
  <si>
    <t xml:space="preserve">MS, 
In Or Out </t>
  </si>
  <si>
    <r>
      <rPr>
        <b/>
        <i/>
        <sz val="12"/>
        <rFont val="Arial"/>
        <family val="2"/>
      </rPr>
      <t>Before sending the order:</t>
    </r>
    <r>
      <rPr>
        <b/>
        <sz val="12"/>
        <rFont val="Arial"/>
        <family val="2"/>
      </rPr>
      <t xml:space="preserve">
1. Please check the Quantity's below are correct. 
2. When complete, save in this tab and email to the Pacific Wholesale Distributors email address.</t>
    </r>
  </si>
  <si>
    <t>Panels</t>
  </si>
  <si>
    <t>WORKSHEET/WORK ORDER #:</t>
  </si>
  <si>
    <t>Panel Quantity</t>
  </si>
  <si>
    <t>Mandatory Fields</t>
  </si>
  <si>
    <t>T/H Post
Quantity</t>
  </si>
  <si>
    <t>Bottom</t>
  </si>
  <si>
    <t>Aluminium Screen</t>
  </si>
  <si>
    <r>
      <t>Phone: +</t>
    </r>
    <r>
      <rPr>
        <sz val="12"/>
        <rFont val="Calibri"/>
        <family val="2"/>
      </rPr>
      <t xml:space="preserve">61 2 8850 9301 </t>
    </r>
    <r>
      <rPr>
        <b/>
        <sz val="12"/>
        <rFont val="Calibri"/>
        <family val="2"/>
      </rPr>
      <t xml:space="preserve">     Fax: +</t>
    </r>
    <r>
      <rPr>
        <sz val="12"/>
        <rFont val="Calibri"/>
        <family val="2"/>
      </rPr>
      <t>61 2 9680 7488</t>
    </r>
  </si>
  <si>
    <t>Bi Fold System</t>
  </si>
  <si>
    <t>Bi Fold</t>
  </si>
  <si>
    <t>AluminiumColours</t>
  </si>
  <si>
    <t>MountingMethodLayoutCodeOption</t>
  </si>
  <si>
    <t>L</t>
  </si>
  <si>
    <t>LL</t>
  </si>
  <si>
    <t>BB</t>
  </si>
  <si>
    <t>BBFF</t>
  </si>
  <si>
    <t>LLLL</t>
  </si>
  <si>
    <t>BBFFFFBB</t>
  </si>
  <si>
    <t>LLLLLL</t>
  </si>
  <si>
    <t>BBMMFF</t>
  </si>
  <si>
    <t>LLLLLLLL</t>
  </si>
  <si>
    <t>BF</t>
  </si>
  <si>
    <t>LLLLLLRR</t>
  </si>
  <si>
    <t>BFB</t>
  </si>
  <si>
    <t>LLLLRR</t>
  </si>
  <si>
    <t>BFFB</t>
  </si>
  <si>
    <t>LLLLRRRR</t>
  </si>
  <si>
    <t>BMF</t>
  </si>
  <si>
    <t>LLRR</t>
  </si>
  <si>
    <t>LCLCL</t>
  </si>
  <si>
    <t>BMFFMB</t>
  </si>
  <si>
    <t>LLRRRR</t>
  </si>
  <si>
    <t>LCLR</t>
  </si>
  <si>
    <t>BMMF</t>
  </si>
  <si>
    <t>LLRRRRRR</t>
  </si>
  <si>
    <t>LCLRCR</t>
  </si>
  <si>
    <t>F</t>
  </si>
  <si>
    <t>RR</t>
  </si>
  <si>
    <t xml:space="preserve">LCLRTLRCR </t>
  </si>
  <si>
    <t>FB</t>
  </si>
  <si>
    <t>RRRR</t>
  </si>
  <si>
    <t>LCLTLTR</t>
  </si>
  <si>
    <t>FBBF</t>
  </si>
  <si>
    <t>RRRRRR</t>
  </si>
  <si>
    <t xml:space="preserve">LCLTR </t>
  </si>
  <si>
    <t>FBF</t>
  </si>
  <si>
    <t>LCLTRCR</t>
  </si>
  <si>
    <t>FBFB</t>
  </si>
  <si>
    <t>LCR</t>
  </si>
  <si>
    <t>FF</t>
  </si>
  <si>
    <t>LCRCR</t>
  </si>
  <si>
    <t>FFBB</t>
  </si>
  <si>
    <t>LCRTR</t>
  </si>
  <si>
    <t>FFBBBBFF</t>
  </si>
  <si>
    <t>FFF</t>
  </si>
  <si>
    <t>FFMMBB</t>
  </si>
  <si>
    <t>FMB</t>
  </si>
  <si>
    <t>FMBBMF</t>
  </si>
  <si>
    <t>FMMB</t>
  </si>
  <si>
    <t>LRCL</t>
  </si>
  <si>
    <t>LRCLR</t>
  </si>
  <si>
    <t>LRCLRCLR</t>
  </si>
  <si>
    <t>LRCLRTLRCLR</t>
  </si>
  <si>
    <t>LRCLTLTRCLR</t>
  </si>
  <si>
    <t>LRCR</t>
  </si>
  <si>
    <t>LTL</t>
  </si>
  <si>
    <t>LTLTL</t>
  </si>
  <si>
    <t>LTLTLCR</t>
  </si>
  <si>
    <t>LTLTR</t>
  </si>
  <si>
    <t>LTR</t>
  </si>
  <si>
    <t xml:space="preserve">LTRCL </t>
  </si>
  <si>
    <t>LTRCLTR</t>
  </si>
  <si>
    <t>LTRTR</t>
  </si>
  <si>
    <t>R</t>
  </si>
  <si>
    <t>RCL</t>
  </si>
  <si>
    <t>RCLCR</t>
  </si>
  <si>
    <t>RCLR</t>
  </si>
  <si>
    <t>RCRCL</t>
  </si>
  <si>
    <t>RCRCR</t>
  </si>
  <si>
    <t>RTL</t>
  </si>
  <si>
    <t>RTLTL</t>
  </si>
  <si>
    <t>RTR</t>
  </si>
  <si>
    <t>RTRTL</t>
  </si>
  <si>
    <t>RTRTR</t>
  </si>
  <si>
    <t>AluminiumHingedLayoutCodes</t>
  </si>
  <si>
    <t>AluminiumSlidingLayoutCodes</t>
  </si>
  <si>
    <t>AluminiumBiFoldLayoutCodes</t>
  </si>
  <si>
    <t>AluminiumFixedLayoutCodes</t>
  </si>
  <si>
    <t>AluminiumNALayoutCodes</t>
  </si>
  <si>
    <t>Layout Code Dependency</t>
  </si>
  <si>
    <t>Stainless Steel</t>
  </si>
  <si>
    <t>HingeColourMS</t>
  </si>
  <si>
    <t>HingeColourIN</t>
  </si>
  <si>
    <t>HingeColourOUT</t>
  </si>
  <si>
    <t>T Post Count</t>
  </si>
  <si>
    <t>LLCRR</t>
  </si>
  <si>
    <t>LLCLL</t>
  </si>
  <si>
    <t>RRCRR</t>
  </si>
  <si>
    <t>RRCLL</t>
  </si>
  <si>
    <t>LLCLRCRR</t>
  </si>
  <si>
    <t>LRCLLRRCLR</t>
  </si>
  <si>
    <t>Layout Code Count</t>
  </si>
  <si>
    <t>Layout Code Check Count</t>
  </si>
  <si>
    <t>Error Layout Code</t>
  </si>
  <si>
    <t>FrameCheck</t>
  </si>
  <si>
    <t>TEXT =COUNTIF(G9,"MS")</t>
  </si>
  <si>
    <t>Right Frame Highlight</t>
  </si>
  <si>
    <t>Top Frame Check</t>
  </si>
  <si>
    <t>Bottom Frame Check</t>
  </si>
  <si>
    <t>Left Frame Entry Check</t>
  </si>
  <si>
    <t>Top &amp; Bottom</t>
  </si>
  <si>
    <t>LockHinged</t>
  </si>
  <si>
    <t>LockSliding</t>
  </si>
  <si>
    <t>LockBiFold</t>
  </si>
  <si>
    <t>LockFixed</t>
  </si>
  <si>
    <t>LockNA</t>
  </si>
  <si>
    <t>Lock Dependency</t>
  </si>
  <si>
    <t>Lock &amp; Panel Height Check</t>
  </si>
  <si>
    <t>HingeColourHinged</t>
  </si>
  <si>
    <t>HingeColourSliding</t>
  </si>
  <si>
    <t>HingeColourBiFold</t>
  </si>
  <si>
    <t>HingeColourFixed</t>
  </si>
  <si>
    <t>HingeColourNA</t>
  </si>
  <si>
    <t>Make Size Panel Only - 
No Deductions Made</t>
  </si>
  <si>
    <t>All Even Panels</t>
  </si>
  <si>
    <t>Critical Midrail</t>
  </si>
  <si>
    <t>Left Panel Open First</t>
  </si>
  <si>
    <t>Maximum Blades Possible</t>
  </si>
  <si>
    <t>Smallest Possible Top &amp; Bottom Rails</t>
  </si>
  <si>
    <t>Split Tiltrod In Half</t>
  </si>
  <si>
    <t>Split Tiltrod In Half Above Midrail</t>
  </si>
  <si>
    <t>Split Tiltrod In Half Below Midrail</t>
  </si>
  <si>
    <t>Panels Fixed With Magnets &amp; Catches</t>
  </si>
  <si>
    <t>Flush Bolts On Back Of Panels</t>
  </si>
  <si>
    <t>Flush Bolts On Front Of Panels</t>
  </si>
  <si>
    <t>SpecialComments2</t>
  </si>
  <si>
    <t>SpecialComments1</t>
  </si>
  <si>
    <t>Extra's Required</t>
  </si>
  <si>
    <t>Additional Hardware</t>
  </si>
  <si>
    <t>General Notes</t>
  </si>
  <si>
    <t>Standard Special Comments # 1</t>
  </si>
  <si>
    <t>Standard Special Comments # 2</t>
  </si>
  <si>
    <t>Line Item Notes</t>
  </si>
  <si>
    <r>
      <t xml:space="preserve">Approximate Gap Between
Top &amp; Bottom
Channel &amp; Blades </t>
    </r>
    <r>
      <rPr>
        <i/>
        <sz val="12"/>
        <rFont val="Tahoma"/>
        <family val="2"/>
      </rPr>
      <t>(mm)</t>
    </r>
  </si>
  <si>
    <t>Standard</t>
  </si>
  <si>
    <t>AluminiumScreenExtraColourUChannel536mmx30mm</t>
  </si>
  <si>
    <t>AluminiumScreenExtraColourHFrame65mmx533mm</t>
  </si>
  <si>
    <t>AluminiumScreenExtraColourExtraEAngle140mm40mm</t>
  </si>
  <si>
    <t>AluminiumScreenExtraColourExtraFAngle240mmx20mm</t>
  </si>
  <si>
    <t>AluminiumScreenExtraColourExtraGAngle325mmx20mm</t>
  </si>
  <si>
    <t>AluminiumScreenExtraColourExtraHAngle420mmx12mm</t>
  </si>
  <si>
    <t>AluminiumScreenExtraColourStainlessSteelHinge</t>
  </si>
  <si>
    <t>Stainless Steel Hinge</t>
  </si>
  <si>
    <t>Mounting Bracket</t>
  </si>
  <si>
    <t>AluminiumScreenExtraColourMountingBracket</t>
  </si>
  <si>
    <t>Extra Colour</t>
  </si>
  <si>
    <t xml:space="preserve">Page:  </t>
  </si>
  <si>
    <t>Mandatory Fields If IN Or OUT Ordered - Not Valid If Make Size (MS) Panel Ordered</t>
  </si>
  <si>
    <t>Aluminium External Shutter</t>
  </si>
  <si>
    <t>Mandatory</t>
  </si>
  <si>
    <t>This is designed to begin at the left and work towards the right as the options will change based on the selections.</t>
  </si>
  <si>
    <t>Material &amp; 
Product</t>
  </si>
  <si>
    <t>Stainless Steel Hinge
Quantity</t>
  </si>
  <si>
    <t>Item 
#</t>
  </si>
  <si>
    <t>Panel Size Type Maximum Check</t>
  </si>
  <si>
    <t>Size Calculation</t>
  </si>
  <si>
    <t>FrameBiFold</t>
  </si>
  <si>
    <t>FrameFixed</t>
  </si>
  <si>
    <t>FrameHinged</t>
  </si>
  <si>
    <t>FrameNA</t>
  </si>
  <si>
    <t>FrameSliding</t>
  </si>
  <si>
    <t>FrameType</t>
  </si>
  <si>
    <t>Check T Post &amp; Layout Code</t>
  </si>
  <si>
    <t>Check 1st T Post</t>
  </si>
  <si>
    <t>Check 2nd T Post</t>
  </si>
  <si>
    <t>Check 3rd T Post</t>
  </si>
  <si>
    <t>1st T Post Highlight</t>
  </si>
  <si>
    <t>2nd T Post Highlight</t>
  </si>
  <si>
    <t>3rd T Post Highlight</t>
  </si>
  <si>
    <t>Size</t>
  </si>
  <si>
    <t>Error</t>
  </si>
  <si>
    <t>Check T Post &amp; T Post Entries</t>
  </si>
  <si>
    <t>T/H Post Highlight</t>
  </si>
  <si>
    <t>Highlight</t>
  </si>
  <si>
    <t>Room
Location</t>
  </si>
  <si>
    <t>SHUTTER ORDERS GO TO:</t>
  </si>
  <si>
    <t>Version</t>
  </si>
  <si>
    <t>MidRail Highlight</t>
  </si>
  <si>
    <t>Beth Anderson</t>
  </si>
  <si>
    <t>This Section Can Be Used To Enter Your Store Names &amp; Delivery Addresses.
Please Enter &amp; Update The Details In The Sections Provided &amp; This Will Automatically Populate Into The Summary Section &amp; Then The Individual Order Forms.</t>
  </si>
  <si>
    <t>#</t>
  </si>
  <si>
    <t>Store Name</t>
  </si>
  <si>
    <t>Delivery Address</t>
  </si>
  <si>
    <t>Handle Lock (Drilled Only, Not Supplied)</t>
  </si>
  <si>
    <t>WORKSHEET # / PO # :</t>
  </si>
  <si>
    <t>WORKSHEET # / PO #:</t>
  </si>
  <si>
    <t>Beth Boord</t>
  </si>
  <si>
    <t>Katrina Sosa</t>
  </si>
  <si>
    <t>Hana Ormiston</t>
  </si>
  <si>
    <t>Erica Clay</t>
  </si>
  <si>
    <t>Window Type</t>
  </si>
  <si>
    <t>shuttersales@pacificwholesale.com.au</t>
  </si>
  <si>
    <t>Bailey Fryc</t>
  </si>
  <si>
    <r>
      <t xml:space="preserve">Phone: </t>
    </r>
    <r>
      <rPr>
        <sz val="12"/>
        <rFont val="Calibri"/>
        <family val="2"/>
      </rPr>
      <t>+61 2 9680 7999</t>
    </r>
  </si>
  <si>
    <r>
      <rPr>
        <b/>
        <sz val="12"/>
        <rFont val="Arial"/>
        <family val="2"/>
      </rPr>
      <t>Tel.</t>
    </r>
    <r>
      <rPr>
        <sz val="12"/>
        <rFont val="Arial"/>
        <family val="2"/>
      </rPr>
      <t xml:space="preserve"> +61 2 8850 9301</t>
    </r>
  </si>
  <si>
    <t>Double Hinged</t>
  </si>
  <si>
    <t>Pivot Hinged</t>
  </si>
  <si>
    <t>Track Bi Fold</t>
  </si>
  <si>
    <t>ExternalMoutingMethodIN</t>
  </si>
  <si>
    <t>ExternalMoutingMethodMS</t>
  </si>
  <si>
    <t>ExternalMoutingMethodOUT</t>
  </si>
  <si>
    <t>EcoExternalAluminiumColour</t>
  </si>
  <si>
    <t>Shaped Raked</t>
  </si>
  <si>
    <t>Shaped Triangle</t>
  </si>
  <si>
    <t>ExternalWindowType</t>
  </si>
  <si>
    <t>ExternalShapedMountingMethodIn</t>
  </si>
  <si>
    <t>ExternalShapedMountingMethodOut</t>
  </si>
  <si>
    <t>Match InOutMS</t>
  </si>
  <si>
    <t>MatchWindowType</t>
  </si>
  <si>
    <t>Index</t>
  </si>
  <si>
    <t>Flush Bolt</t>
  </si>
  <si>
    <t>Flush Bolt Location</t>
  </si>
  <si>
    <t>Security Lock</t>
  </si>
  <si>
    <t>Key Lock</t>
  </si>
  <si>
    <t>Extra Items</t>
  </si>
  <si>
    <t>Tiltrod Type</t>
  </si>
  <si>
    <t>HingeYesNo</t>
  </si>
  <si>
    <t>StainlessSteelHingeOnly</t>
  </si>
  <si>
    <t>HingeColourYes</t>
  </si>
  <si>
    <t>HingeColourNo</t>
  </si>
  <si>
    <t>White</t>
  </si>
  <si>
    <t>Hinge Colour Check</t>
  </si>
  <si>
    <t xml:space="preserve">Z Frame Flat </t>
  </si>
  <si>
    <t xml:space="preserve">Z Frame Beaded </t>
  </si>
  <si>
    <t xml:space="preserve">L Frame </t>
  </si>
  <si>
    <t>HingedDoubleHingedFrames</t>
  </si>
  <si>
    <t>FixedFrames</t>
  </si>
  <si>
    <t>SlidingFrames</t>
  </si>
  <si>
    <t>BiFoldFrames</t>
  </si>
  <si>
    <t>PivotHingedFrames</t>
  </si>
  <si>
    <t>Sliding Frames</t>
  </si>
  <si>
    <t>Bi Fold Frames</t>
  </si>
  <si>
    <t>Panel Only</t>
  </si>
  <si>
    <t>FrameTypeSelect</t>
  </si>
  <si>
    <t>HingeSelect</t>
  </si>
  <si>
    <t>FrameSelect</t>
  </si>
  <si>
    <t>THPost</t>
  </si>
  <si>
    <t>FZFrameLeftRight</t>
  </si>
  <si>
    <t>Angle</t>
  </si>
  <si>
    <t>UChannelLeftRight</t>
  </si>
  <si>
    <t>BiFoldFramesLeftRight</t>
  </si>
  <si>
    <t>PanelOnly</t>
  </si>
  <si>
    <t>SlidingFramesLeftRight</t>
  </si>
  <si>
    <t>Side Board</t>
  </si>
  <si>
    <t>FramesLeftRight Select</t>
  </si>
  <si>
    <t>LeftRight</t>
  </si>
  <si>
    <t>TopBottomYes</t>
  </si>
  <si>
    <t>BottomFrame</t>
  </si>
  <si>
    <t>TopFrame</t>
  </si>
  <si>
    <t>SlidingTopFrame</t>
  </si>
  <si>
    <t>SliidingBottomFrame</t>
  </si>
  <si>
    <t>Bottom Select</t>
  </si>
  <si>
    <t>Top Select</t>
  </si>
  <si>
    <t>SecurityLockYes</t>
  </si>
  <si>
    <t>SecurityLockNo</t>
  </si>
  <si>
    <t>Bottom &amp; Top</t>
  </si>
  <si>
    <t>25mm x 25mm Angle</t>
  </si>
  <si>
    <t>25mm x 10mm Angle</t>
  </si>
  <si>
    <t xml:space="preserve">50mm x 50mm Angle </t>
  </si>
  <si>
    <t>50mm x 20mm Angle</t>
  </si>
  <si>
    <t xml:space="preserve">50mm x 50mm Post </t>
  </si>
  <si>
    <t>Hidden Tilt Rod</t>
  </si>
  <si>
    <t>63mm Blade</t>
  </si>
  <si>
    <t>89mm Blade</t>
  </si>
  <si>
    <t>114mm Blade</t>
  </si>
  <si>
    <t>Z Frame Beaded</t>
  </si>
  <si>
    <t xml:space="preserve">H Section </t>
  </si>
  <si>
    <t>Headboard 190mm</t>
  </si>
  <si>
    <t>Headboard 150mm</t>
  </si>
  <si>
    <t>Headboard 115mm</t>
  </si>
  <si>
    <t>Pivot Hinge</t>
  </si>
  <si>
    <t>Non Mortise Hinge</t>
  </si>
  <si>
    <t>Wheel Carrier</t>
  </si>
  <si>
    <t>Top Pivot Plate</t>
  </si>
  <si>
    <t>Bottom Guide Foot</t>
  </si>
  <si>
    <t xml:space="preserve">Bottom Guide </t>
  </si>
  <si>
    <t>Top Hanger</t>
  </si>
  <si>
    <t>Stand Out Bracket</t>
  </si>
  <si>
    <t>Top U Channel</t>
  </si>
  <si>
    <t xml:space="preserve">Bottom Slider Wheel </t>
  </si>
  <si>
    <t>Bottom Pivot Plate</t>
  </si>
  <si>
    <t>AluminiumExtras</t>
  </si>
  <si>
    <t>AluminiumExtraHardwares</t>
  </si>
  <si>
    <t>Magnet Set</t>
  </si>
  <si>
    <t>Spring Pin</t>
  </si>
  <si>
    <t>AluminiumSpecialComments</t>
  </si>
  <si>
    <t>Eco Aluminium External Shutters</t>
  </si>
  <si>
    <t>FlushBolt</t>
  </si>
  <si>
    <t>Silver</t>
  </si>
  <si>
    <t>FlushBoltYes</t>
  </si>
  <si>
    <t>FlushBoltNA</t>
  </si>
  <si>
    <t>FlushBoltHinged</t>
  </si>
  <si>
    <t>FlushBoltBiFoldSlinding</t>
  </si>
  <si>
    <t>Flush Bolt Yes No</t>
  </si>
  <si>
    <t>FlushBolt Location 2</t>
  </si>
  <si>
    <t>FlushBoltLocationNA</t>
  </si>
  <si>
    <t>Additional Items, Extra's, Hardware &amp; Comments</t>
  </si>
  <si>
    <t>Left Frame</t>
  </si>
  <si>
    <t>Right Frame</t>
  </si>
  <si>
    <t>Top Frame</t>
  </si>
  <si>
    <t>Bottom Frame</t>
  </si>
  <si>
    <t>LD-RR</t>
  </si>
  <si>
    <t>L-DRR</t>
  </si>
  <si>
    <t>LLD-R</t>
  </si>
  <si>
    <t>LL-DR</t>
  </si>
  <si>
    <t>LLD-RR</t>
  </si>
  <si>
    <t>LL-DRR</t>
  </si>
  <si>
    <t>AluminiumDoubleHingedLayoutCodes</t>
  </si>
  <si>
    <t>LD-R</t>
  </si>
  <si>
    <t>L-DR</t>
  </si>
  <si>
    <t>LD-RTL</t>
  </si>
  <si>
    <t>L-DRTL</t>
  </si>
  <si>
    <t>LD-RTLD-R</t>
  </si>
  <si>
    <t>L-DRTL-DR</t>
  </si>
  <si>
    <t>L-DRTLD-R</t>
  </si>
  <si>
    <t>LD-RTLD-RTL</t>
  </si>
  <si>
    <t>LD-RTLD-RTLD-R</t>
  </si>
  <si>
    <t>L-DRTL-DRTL-DR</t>
  </si>
  <si>
    <t>LD-RTLD-RTR</t>
  </si>
  <si>
    <t>L-DRTL-DRTR</t>
  </si>
  <si>
    <t>LD-RTR</t>
  </si>
  <si>
    <t>L-DRTR</t>
  </si>
  <si>
    <t>LTLD-R</t>
  </si>
  <si>
    <t>LTL-DR</t>
  </si>
  <si>
    <t>LTLD-RTLD-R</t>
  </si>
  <si>
    <t>LTL-DRTL-DR</t>
  </si>
  <si>
    <t>LTLD-RTLD-RTR</t>
  </si>
  <si>
    <t>LTL-DRTL-DRTR</t>
  </si>
  <si>
    <t>LTLD-RTR</t>
  </si>
  <si>
    <t>LTL-DRTR</t>
  </si>
  <si>
    <t>LTLD-RTRTLTLD-RTR</t>
  </si>
  <si>
    <t>LTL-DRTRTLTL-DRTR</t>
  </si>
  <si>
    <t xml:space="preserve">Black Textured </t>
  </si>
  <si>
    <t>Golden Oak</t>
  </si>
  <si>
    <t>Light Cedar</t>
  </si>
  <si>
    <t>Pearl</t>
  </si>
  <si>
    <t>Walnut</t>
  </si>
  <si>
    <t>AluminiumPivotHingedLayoutCodes</t>
  </si>
  <si>
    <t>Eco Aluminium External Lite</t>
  </si>
  <si>
    <t>Eco Aluminium External Standard</t>
  </si>
  <si>
    <t>AlumimiumExternalLiteColour</t>
  </si>
  <si>
    <t>Vivid White</t>
  </si>
  <si>
    <t xml:space="preserve">Standard Eco Custom Dulux Colour </t>
  </si>
  <si>
    <t xml:space="preserve">Standard Black Textured </t>
  </si>
  <si>
    <t>Standard Golden Oak</t>
  </si>
  <si>
    <t>Standard Light Cedar</t>
  </si>
  <si>
    <t>Standard Pearl</t>
  </si>
  <si>
    <t>Standard Silver</t>
  </si>
  <si>
    <t>Standard Walnut</t>
  </si>
  <si>
    <t>Standard White</t>
  </si>
  <si>
    <t>Lite Vivid White</t>
  </si>
  <si>
    <t>EcoExternalAluminiumColourAll</t>
  </si>
  <si>
    <t>50mm x 50mm Mount Bracket</t>
  </si>
  <si>
    <t>AluminiumExtrasLimitedColours</t>
  </si>
  <si>
    <t>Extra Colour Select</t>
  </si>
  <si>
    <t>Panel Qty</t>
  </si>
  <si>
    <t>RTLD-R</t>
  </si>
  <si>
    <t>RTL-DR</t>
  </si>
  <si>
    <t>RTLD-RTL</t>
  </si>
  <si>
    <t>RTL-DRTL</t>
  </si>
  <si>
    <t>Lookup T Post</t>
  </si>
  <si>
    <t>Look T Post</t>
  </si>
  <si>
    <t>Eco Aluminium External Privacy Screen</t>
  </si>
  <si>
    <t>AluminiumProductInOut</t>
  </si>
  <si>
    <t>AluminiumProductAll</t>
  </si>
  <si>
    <t>Produc Select</t>
  </si>
  <si>
    <t>Side U Channel</t>
  </si>
  <si>
    <t>TiltrodBoth</t>
  </si>
  <si>
    <t>Hidden Back</t>
  </si>
  <si>
    <t>Hidden Front</t>
  </si>
  <si>
    <t>TiltPrivacy</t>
  </si>
  <si>
    <t>Security Lock Yes No</t>
  </si>
  <si>
    <t>SecurityLock</t>
  </si>
  <si>
    <t>SecurityLockNA</t>
  </si>
  <si>
    <t>LourveLock</t>
  </si>
  <si>
    <t>KeyLock</t>
  </si>
  <si>
    <t>LourveLockSelect</t>
  </si>
  <si>
    <t>Shaped</t>
  </si>
  <si>
    <t>NoShapes</t>
  </si>
  <si>
    <t>Top Slide Channel</t>
  </si>
  <si>
    <t>Bottom Slide Channel</t>
  </si>
  <si>
    <t>Eco Custom Dulux Colour</t>
  </si>
  <si>
    <t>89mm</t>
  </si>
  <si>
    <t>114mm</t>
  </si>
  <si>
    <t>63mm</t>
  </si>
  <si>
    <t>MatchBlade</t>
  </si>
  <si>
    <t xml:space="preserve"> 63mm114mmProductInMS</t>
  </si>
  <si>
    <t xml:space="preserve"> 63mm114mmProductOut</t>
  </si>
  <si>
    <t>11</t>
  </si>
  <si>
    <t>Safety Lock</t>
  </si>
  <si>
    <t>Safety Lock Location</t>
  </si>
  <si>
    <t>Louvre/Blade 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</si>
</sst>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dd/mm/yyyy;@"/>
  </numFmts>
  <fonts count="55" x14ac:knownFonts="1">
    <font>
      <sz val="12"/>
      <name val="Arial"/>
    </font>
    <font>
      <sz val="11"/>
      <color theme="1"/>
      <name val="Calibri"/>
      <family val="2"/>
      <scheme val="minor"/>
    </font>
    <font>
      <sz val="12"/>
      <name val="Arial"/>
      <family val="2"/>
    </font>
    <font>
      <sz val="12"/>
      <name val="Tahoma"/>
      <family val="2"/>
    </font>
    <font>
      <sz val="9"/>
      <name val="Tahoma"/>
      <family val="2"/>
    </font>
    <font>
      <b/>
      <sz val="12"/>
      <name val="Tahoma"/>
      <family val="2"/>
    </font>
    <font>
      <sz val="10"/>
      <name val="Tahoma"/>
      <family val="2"/>
    </font>
    <font>
      <b/>
      <sz val="11"/>
      <name val="Tahoma"/>
      <family val="2"/>
    </font>
    <font>
      <sz val="11"/>
      <name val="Tahoma"/>
      <family val="2"/>
    </font>
    <font>
      <b/>
      <sz val="16"/>
      <name val="Tahoma"/>
      <family val="2"/>
    </font>
    <font>
      <sz val="12"/>
      <name val="Calibri"/>
      <family val="2"/>
    </font>
    <font>
      <sz val="14"/>
      <name val="Tahoma"/>
      <family val="2"/>
    </font>
    <font>
      <i/>
      <sz val="12"/>
      <name val="Tahoma"/>
      <family val="2"/>
    </font>
    <font>
      <b/>
      <sz val="16"/>
      <name val="Calibri"/>
      <family val="2"/>
      <scheme val="minor"/>
    </font>
    <font>
      <b/>
      <sz val="14"/>
      <name val="Calibri"/>
      <family val="2"/>
      <scheme val="minor"/>
    </font>
    <font>
      <b/>
      <sz val="12"/>
      <name val="Calibri"/>
      <family val="2"/>
      <scheme val="minor"/>
    </font>
    <font>
      <sz val="12"/>
      <name val="Calibri"/>
      <family val="2"/>
      <scheme val="minor"/>
    </font>
    <font>
      <b/>
      <i/>
      <sz val="18"/>
      <name val="Calibri"/>
      <family val="2"/>
      <scheme val="minor"/>
    </font>
    <font>
      <b/>
      <sz val="18"/>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00B0F0"/>
      <name val="Calibri"/>
      <family val="2"/>
      <scheme val="minor"/>
    </font>
    <font>
      <sz val="11"/>
      <name val="Arial"/>
      <family val="2"/>
    </font>
    <font>
      <b/>
      <sz val="12"/>
      <name val="Calibri"/>
      <family val="2"/>
    </font>
    <font>
      <sz val="10"/>
      <name val="Arial"/>
      <family val="2"/>
    </font>
    <font>
      <b/>
      <sz val="12"/>
      <name val="Arial"/>
      <family val="2"/>
    </font>
    <font>
      <b/>
      <i/>
      <sz val="12"/>
      <name val="Arial"/>
      <family val="2"/>
    </font>
    <font>
      <b/>
      <sz val="14"/>
      <name val="Arial"/>
      <family val="2"/>
    </font>
    <font>
      <b/>
      <sz val="18"/>
      <name val="Arial"/>
      <family val="2"/>
    </font>
    <font>
      <sz val="18"/>
      <name val="Arial"/>
      <family val="2"/>
    </font>
    <font>
      <u/>
      <sz val="10"/>
      <color indexed="12"/>
      <name val="Arial"/>
      <family val="2"/>
    </font>
    <font>
      <b/>
      <sz val="10"/>
      <name val="Arial"/>
      <family val="2"/>
    </font>
    <font>
      <sz val="14"/>
      <name val="Arial"/>
      <family val="2"/>
    </font>
    <font>
      <b/>
      <i/>
      <sz val="10"/>
      <name val="Arial"/>
      <family val="2"/>
    </font>
    <font>
      <sz val="9"/>
      <color indexed="81"/>
      <name val="Tahoma"/>
      <family val="2"/>
    </font>
    <font>
      <b/>
      <sz val="12"/>
      <color rgb="FFFF0000"/>
      <name val="Arial"/>
      <family val="2"/>
    </font>
    <font>
      <b/>
      <i/>
      <sz val="12"/>
      <name val="Tahoma"/>
      <family val="2"/>
    </font>
    <font>
      <i/>
      <sz val="9"/>
      <color indexed="81"/>
      <name val="Tahoma"/>
      <family val="2"/>
    </font>
    <font>
      <b/>
      <sz val="20"/>
      <name val="Calibri"/>
      <family val="2"/>
      <scheme val="minor"/>
    </font>
    <font>
      <b/>
      <sz val="11"/>
      <color rgb="FFFF0000"/>
      <name val="Calibri"/>
      <family val="2"/>
      <scheme val="minor"/>
    </font>
    <font>
      <sz val="12"/>
      <color rgb="FFFF0000"/>
      <name val="Calibri"/>
      <family val="2"/>
      <scheme val="minor"/>
    </font>
    <font>
      <b/>
      <sz val="12"/>
      <color rgb="FFFF0000"/>
      <name val="Calibri"/>
      <family val="2"/>
      <scheme val="minor"/>
    </font>
    <font>
      <sz val="12"/>
      <color theme="0"/>
      <name val="Tahoma"/>
      <family val="2"/>
    </font>
    <font>
      <sz val="12"/>
      <color rgb="FFFF0000"/>
      <name val="Tahoma"/>
      <family val="2"/>
    </font>
    <font>
      <b/>
      <sz val="14"/>
      <name val="Tahoma"/>
      <family val="2"/>
    </font>
    <font>
      <b/>
      <i/>
      <sz val="11"/>
      <color rgb="FFFF0000"/>
      <name val="Calibri"/>
      <family val="2"/>
      <scheme val="minor"/>
    </font>
    <font>
      <i/>
      <sz val="11"/>
      <name val="Tahoma"/>
      <family val="2"/>
    </font>
    <font>
      <b/>
      <sz val="18"/>
      <name val="Tahoma"/>
      <family val="2"/>
    </font>
    <font>
      <b/>
      <sz val="20"/>
      <name val="Arial"/>
      <family val="2"/>
    </font>
    <font>
      <sz val="8"/>
      <color indexed="81"/>
      <name val="Tahoma"/>
      <family val="2"/>
    </font>
    <font>
      <i/>
      <sz val="8"/>
      <color indexed="81"/>
      <name val="Tahoma"/>
      <family val="2"/>
    </font>
    <font>
      <b/>
      <i/>
      <sz val="11"/>
      <name val="Calibri"/>
      <family val="2"/>
      <scheme val="minor"/>
    </font>
    <font>
      <b/>
      <sz val="20"/>
      <name val="Tahoma"/>
      <family val="2"/>
    </font>
    <font>
      <b/>
      <sz val="24"/>
      <name val="Calibri"/>
      <family val="2"/>
      <scheme val="minor"/>
    </font>
  </fonts>
  <fills count="29">
    <fill>
      <patternFill patternType="none"/>
    </fill>
    <fill>
      <patternFill patternType="gray125"/>
    </fill>
    <fill>
      <patternFill patternType="solid">
        <fgColor indexed="13"/>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3" tint="0.79998168889431442"/>
        <bgColor indexed="64"/>
      </patternFill>
    </fill>
    <fill>
      <patternFill patternType="solid">
        <fgColor theme="2" tint="-9.9948118533890809E-2"/>
        <bgColor indexed="64"/>
      </patternFill>
    </fill>
    <fill>
      <patternFill patternType="solid">
        <fgColor indexed="31"/>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6" tint="0.79998168889431442"/>
        <bgColor indexed="64"/>
      </patternFill>
    </fill>
  </fills>
  <borders count="116">
    <border>
      <left/>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style="medium">
        <color indexed="64"/>
      </top>
      <bottom style="double">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top/>
      <bottom style="thin">
        <color indexed="64"/>
      </bottom>
      <diagonal/>
    </border>
    <border>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medium">
        <color indexed="64"/>
      </left>
      <right/>
      <top style="medium">
        <color indexed="64"/>
      </top>
      <bottom style="double">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auto="1"/>
      </left>
      <right style="thin">
        <color auto="1"/>
      </right>
      <top style="thick">
        <color auto="1"/>
      </top>
      <bottom style="thin">
        <color auto="1"/>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double">
        <color indexed="64"/>
      </top>
      <bottom style="hair">
        <color indexed="64"/>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top style="double">
        <color indexed="64"/>
      </top>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hair">
        <color indexed="64"/>
      </right>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0" fontId="31" fillId="0" borderId="0" applyNumberFormat="0" applyFill="0" applyBorder="0" applyAlignment="0" applyProtection="0">
      <alignment vertical="top"/>
      <protection locked="0"/>
    </xf>
  </cellStyleXfs>
  <cellXfs count="477">
    <xf numFmtId="0" fontId="0" fillId="0" borderId="0" xfId="0"/>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16" fillId="0" borderId="0" xfId="0" applyFont="1" applyAlignment="1" applyProtection="1">
      <alignment vertical="center"/>
      <protection locked="0"/>
    </xf>
    <xf numFmtId="164" fontId="4" fillId="0" borderId="0" xfId="0" applyNumberFormat="1" applyFont="1" applyAlignment="1" applyProtection="1">
      <alignment vertical="center"/>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7" fillId="0" borderId="23"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3" fillId="0" borderId="26"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1" xfId="0" applyFont="1" applyBorder="1" applyAlignment="1" applyProtection="1">
      <alignment vertical="center"/>
      <protection locked="0"/>
    </xf>
    <xf numFmtId="0" fontId="7" fillId="0" borderId="32"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2" fillId="0" borderId="0" xfId="0" applyFont="1"/>
    <xf numFmtId="0" fontId="3" fillId="0" borderId="4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 fillId="0" borderId="0" xfId="2"/>
    <xf numFmtId="0" fontId="19" fillId="0" borderId="0" xfId="2" applyFont="1" applyAlignment="1">
      <alignment horizontal="center"/>
    </xf>
    <xf numFmtId="0" fontId="1" fillId="0" borderId="0" xfId="2" applyAlignment="1">
      <alignment horizontal="center"/>
    </xf>
    <xf numFmtId="0" fontId="20" fillId="0" borderId="0" xfId="2" applyFont="1"/>
    <xf numFmtId="0" fontId="19" fillId="6" borderId="46" xfId="2" applyFont="1" applyFill="1" applyBorder="1" applyAlignment="1">
      <alignment horizontal="center"/>
    </xf>
    <xf numFmtId="0" fontId="1" fillId="7" borderId="46" xfId="2" applyFill="1" applyBorder="1"/>
    <xf numFmtId="0" fontId="19" fillId="7" borderId="46" xfId="2" applyFont="1" applyFill="1" applyBorder="1" applyAlignment="1">
      <alignment horizontal="center"/>
    </xf>
    <xf numFmtId="0" fontId="1" fillId="0" borderId="0" xfId="2" applyAlignment="1">
      <alignment horizontal="right"/>
    </xf>
    <xf numFmtId="0" fontId="20" fillId="0" borderId="0" xfId="2" applyFont="1" applyAlignment="1">
      <alignment horizontal="right"/>
    </xf>
    <xf numFmtId="0" fontId="1" fillId="6" borderId="46" xfId="2" applyFill="1" applyBorder="1"/>
    <xf numFmtId="2" fontId="20" fillId="0" borderId="0" xfId="2" applyNumberFormat="1" applyFont="1" applyAlignment="1">
      <alignment horizontal="right"/>
    </xf>
    <xf numFmtId="0" fontId="19" fillId="8" borderId="46" xfId="2" applyFont="1" applyFill="1" applyBorder="1" applyAlignment="1">
      <alignment horizontal="center"/>
    </xf>
    <xf numFmtId="2" fontId="21" fillId="8" borderId="46" xfId="2" applyNumberFormat="1" applyFont="1" applyFill="1" applyBorder="1" applyAlignment="1">
      <alignment horizontal="center"/>
    </xf>
    <xf numFmtId="0" fontId="21" fillId="8" borderId="46" xfId="2" applyFont="1" applyFill="1" applyBorder="1" applyAlignment="1">
      <alignment horizontal="center"/>
    </xf>
    <xf numFmtId="2" fontId="21" fillId="8" borderId="46" xfId="1" applyNumberFormat="1" applyFont="1" applyFill="1" applyBorder="1" applyAlignment="1">
      <alignment horizontal="center"/>
    </xf>
    <xf numFmtId="0" fontId="20" fillId="0" borderId="0" xfId="2" applyFont="1" applyAlignment="1">
      <alignment horizontal="center"/>
    </xf>
    <xf numFmtId="0" fontId="19" fillId="9" borderId="46" xfId="2" applyFont="1" applyFill="1" applyBorder="1" applyAlignment="1">
      <alignment horizontal="center" vertical="center"/>
    </xf>
    <xf numFmtId="1" fontId="19" fillId="0" borderId="46" xfId="2" applyNumberFormat="1" applyFont="1" applyBorder="1" applyAlignment="1">
      <alignment horizontal="center"/>
    </xf>
    <xf numFmtId="0" fontId="19" fillId="0" borderId="46" xfId="2" applyFont="1" applyBorder="1" applyAlignment="1">
      <alignment horizontal="right"/>
    </xf>
    <xf numFmtId="1" fontId="19" fillId="0" borderId="46" xfId="2" applyNumberFormat="1" applyFont="1" applyBorder="1" applyAlignment="1">
      <alignment horizontal="right"/>
    </xf>
    <xf numFmtId="1" fontId="21" fillId="0" borderId="46" xfId="2" applyNumberFormat="1" applyFont="1" applyBorder="1" applyAlignment="1">
      <alignment horizontal="right"/>
    </xf>
    <xf numFmtId="0" fontId="21" fillId="0" borderId="46" xfId="2" applyFont="1" applyBorder="1"/>
    <xf numFmtId="0" fontId="1" fillId="0" borderId="46" xfId="2" applyBorder="1" applyAlignment="1">
      <alignment horizontal="right"/>
    </xf>
    <xf numFmtId="1" fontId="1" fillId="0" borderId="46" xfId="2" applyNumberFormat="1" applyBorder="1" applyAlignment="1">
      <alignment horizontal="right"/>
    </xf>
    <xf numFmtId="1" fontId="20" fillId="0" borderId="46" xfId="2" applyNumberFormat="1" applyFont="1" applyBorder="1" applyAlignment="1">
      <alignment horizontal="right"/>
    </xf>
    <xf numFmtId="0" fontId="20" fillId="0" borderId="46" xfId="2" applyFont="1" applyBorder="1"/>
    <xf numFmtId="0" fontId="19" fillId="9" borderId="46" xfId="2" applyFont="1" applyFill="1" applyBorder="1" applyAlignment="1">
      <alignment horizontal="center" vertical="center" wrapText="1"/>
    </xf>
    <xf numFmtId="2" fontId="19" fillId="8" borderId="46" xfId="2" applyNumberFormat="1" applyFont="1" applyFill="1" applyBorder="1" applyAlignment="1">
      <alignment horizontal="center"/>
    </xf>
    <xf numFmtId="1" fontId="20" fillId="0" borderId="46" xfId="1" applyNumberFormat="1" applyFont="1" applyBorder="1" applyAlignment="1">
      <alignment horizontal="right"/>
    </xf>
    <xf numFmtId="0" fontId="21" fillId="9" borderId="46" xfId="2" applyFont="1" applyFill="1" applyBorder="1" applyAlignment="1">
      <alignment horizontal="center" vertical="center"/>
    </xf>
    <xf numFmtId="9" fontId="21" fillId="8" borderId="46" xfId="2" applyNumberFormat="1" applyFont="1" applyFill="1" applyBorder="1" applyAlignment="1">
      <alignment horizontal="center"/>
    </xf>
    <xf numFmtId="0" fontId="21" fillId="9" borderId="46" xfId="2" applyFont="1" applyFill="1" applyBorder="1" applyAlignment="1">
      <alignment horizontal="center" vertical="center" wrapText="1"/>
    </xf>
    <xf numFmtId="0" fontId="22" fillId="0" borderId="0" xfId="2" applyFont="1" applyAlignment="1" applyProtection="1">
      <alignment horizontal="center"/>
      <protection locked="0"/>
    </xf>
    <xf numFmtId="1" fontId="20" fillId="0" borderId="46" xfId="2" applyNumberFormat="1" applyFont="1" applyBorder="1"/>
    <xf numFmtId="0" fontId="21" fillId="10" borderId="46" xfId="2" applyFont="1" applyFill="1" applyBorder="1" applyAlignment="1" applyProtection="1">
      <alignment horizontal="center" vertical="center"/>
      <protection locked="0"/>
    </xf>
    <xf numFmtId="0" fontId="21" fillId="10" borderId="46" xfId="2" applyFont="1" applyFill="1" applyBorder="1" applyAlignment="1">
      <alignment horizontal="center" vertical="center"/>
    </xf>
    <xf numFmtId="0" fontId="19" fillId="11" borderId="46" xfId="2" applyFont="1" applyFill="1" applyBorder="1" applyAlignment="1">
      <alignment horizontal="center" vertical="center" wrapText="1"/>
    </xf>
    <xf numFmtId="0" fontId="19" fillId="11" borderId="46" xfId="2" applyFont="1" applyFill="1" applyBorder="1" applyAlignment="1">
      <alignment horizontal="center" vertical="center"/>
    </xf>
    <xf numFmtId="0" fontId="19" fillId="12" borderId="46" xfId="2" applyFont="1" applyFill="1" applyBorder="1" applyAlignment="1">
      <alignment horizontal="center" vertical="center"/>
    </xf>
    <xf numFmtId="0" fontId="21" fillId="12" borderId="46" xfId="2" applyFont="1" applyFill="1" applyBorder="1" applyAlignment="1" applyProtection="1">
      <alignment horizontal="center" vertical="center"/>
      <protection locked="0"/>
    </xf>
    <xf numFmtId="0" fontId="21" fillId="12" borderId="46" xfId="2" applyFont="1" applyFill="1" applyBorder="1" applyAlignment="1">
      <alignment horizontal="center" vertical="center"/>
    </xf>
    <xf numFmtId="0" fontId="19" fillId="0" borderId="46" xfId="2" applyFont="1" applyBorder="1" applyAlignment="1">
      <alignment horizontal="center" vertical="center"/>
    </xf>
    <xf numFmtId="0" fontId="21" fillId="0" borderId="46" xfId="2" applyFont="1" applyBorder="1" applyAlignment="1">
      <alignment horizontal="center" vertical="center"/>
    </xf>
    <xf numFmtId="0" fontId="3" fillId="0" borderId="43" xfId="0" applyFont="1" applyBorder="1" applyAlignment="1" applyProtection="1">
      <alignment vertical="center"/>
      <protection locked="0"/>
    </xf>
    <xf numFmtId="0" fontId="8" fillId="0" borderId="30"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8" fillId="0" borderId="2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shrinkToFit="1"/>
      <protection locked="0"/>
    </xf>
    <xf numFmtId="0" fontId="23" fillId="0" borderId="55"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protection locked="0"/>
    </xf>
    <xf numFmtId="1" fontId="3" fillId="7" borderId="56" xfId="0" applyNumberFormat="1" applyFont="1" applyFill="1" applyBorder="1" applyAlignment="1">
      <alignment horizontal="center" vertical="center"/>
    </xf>
    <xf numFmtId="0" fontId="3" fillId="7" borderId="56" xfId="0" applyFont="1" applyFill="1" applyBorder="1" applyAlignment="1">
      <alignment horizontal="center" vertical="center"/>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1" fontId="3" fillId="7" borderId="57" xfId="0" applyNumberFormat="1" applyFont="1" applyFill="1" applyBorder="1" applyAlignment="1">
      <alignment horizontal="center" vertical="center"/>
    </xf>
    <xf numFmtId="0" fontId="3" fillId="7" borderId="57" xfId="0" applyFont="1" applyFill="1"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1" fontId="3" fillId="7" borderId="24" xfId="0" applyNumberFormat="1" applyFont="1" applyFill="1" applyBorder="1" applyAlignment="1">
      <alignment horizontal="center" vertical="center"/>
    </xf>
    <xf numFmtId="0" fontId="3" fillId="7" borderId="24" xfId="0" applyFont="1" applyFill="1" applyBorder="1" applyAlignment="1">
      <alignment horizontal="center" vertical="center"/>
    </xf>
    <xf numFmtId="0" fontId="3" fillId="13" borderId="3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5" fillId="0" borderId="0" xfId="2" applyFont="1" applyProtection="1">
      <protection locked="0"/>
    </xf>
    <xf numFmtId="0" fontId="32" fillId="0" borderId="0" xfId="2" applyFont="1" applyAlignment="1" applyProtection="1">
      <alignment vertical="center"/>
      <protection locked="0"/>
    </xf>
    <xf numFmtId="0" fontId="32" fillId="15" borderId="46" xfId="2" applyFont="1" applyFill="1" applyBorder="1" applyAlignment="1" applyProtection="1">
      <alignment horizontal="center"/>
      <protection locked="0"/>
    </xf>
    <xf numFmtId="0" fontId="33" fillId="0" borderId="46" xfId="2" applyFont="1" applyBorder="1" applyAlignment="1">
      <alignment horizontal="center"/>
    </xf>
    <xf numFmtId="0" fontId="8" fillId="0" borderId="33" xfId="0" applyFont="1" applyBorder="1" applyAlignment="1" applyProtection="1">
      <alignment horizontal="center" vertical="center" shrinkToFit="1"/>
      <protection locked="0"/>
    </xf>
    <xf numFmtId="0" fontId="15" fillId="0" borderId="46" xfId="0" applyFont="1" applyBorder="1" applyAlignment="1" applyProtection="1">
      <alignment horizontal="center" vertical="center"/>
      <protection locked="0"/>
    </xf>
    <xf numFmtId="0" fontId="0" fillId="0" borderId="46" xfId="0" applyBorder="1" applyAlignment="1">
      <alignment horizontal="center"/>
    </xf>
    <xf numFmtId="0" fontId="32" fillId="18" borderId="46" xfId="0" applyFont="1" applyFill="1" applyBorder="1" applyAlignment="1">
      <alignment horizontal="center" vertical="center"/>
    </xf>
    <xf numFmtId="0" fontId="19" fillId="19" borderId="46" xfId="0" applyFont="1" applyFill="1" applyBorder="1" applyAlignment="1">
      <alignment horizontal="center"/>
    </xf>
    <xf numFmtId="0" fontId="19" fillId="20" borderId="46" xfId="0" applyFont="1" applyFill="1" applyBorder="1" applyAlignment="1">
      <alignment horizontal="center"/>
    </xf>
    <xf numFmtId="0" fontId="32" fillId="8" borderId="46" xfId="0" applyFont="1" applyFill="1" applyBorder="1" applyAlignment="1">
      <alignment horizontal="center"/>
    </xf>
    <xf numFmtId="0" fontId="0" fillId="18" borderId="46" xfId="0" applyFill="1" applyBorder="1" applyAlignment="1">
      <alignment horizontal="center"/>
    </xf>
    <xf numFmtId="0" fontId="0" fillId="19" borderId="46" xfId="0" applyFill="1" applyBorder="1" applyAlignment="1">
      <alignment horizontal="center"/>
    </xf>
    <xf numFmtId="0" fontId="0" fillId="8" borderId="46" xfId="0" applyFill="1" applyBorder="1" applyAlignment="1">
      <alignment horizontal="center"/>
    </xf>
    <xf numFmtId="0" fontId="0" fillId="11" borderId="0" xfId="0" applyFill="1" applyAlignment="1">
      <alignment horizontal="center"/>
    </xf>
    <xf numFmtId="0" fontId="0" fillId="0" borderId="0" xfId="0" applyAlignment="1">
      <alignment horizontal="center"/>
    </xf>
    <xf numFmtId="0" fontId="3" fillId="21" borderId="19" xfId="0" applyFont="1" applyFill="1" applyBorder="1" applyAlignment="1" applyProtection="1">
      <alignment horizontal="center" vertical="center" wrapText="1"/>
      <protection locked="0"/>
    </xf>
    <xf numFmtId="0" fontId="3" fillId="21" borderId="34" xfId="0" applyFont="1" applyFill="1" applyBorder="1" applyAlignment="1" applyProtection="1">
      <alignment horizontal="center" vertical="center" wrapText="1"/>
      <protection locked="0"/>
    </xf>
    <xf numFmtId="0" fontId="16" fillId="0" borderId="46" xfId="0" applyFont="1" applyBorder="1" applyAlignment="1" applyProtection="1">
      <alignment horizontal="center" vertical="center"/>
      <protection locked="0"/>
    </xf>
    <xf numFmtId="0" fontId="41" fillId="0" borderId="46" xfId="0" applyFont="1" applyBorder="1" applyAlignment="1" applyProtection="1">
      <alignment horizontal="center" vertical="center"/>
      <protection locked="0"/>
    </xf>
    <xf numFmtId="0" fontId="42" fillId="0" borderId="46" xfId="0" applyFont="1" applyBorder="1" applyAlignment="1" applyProtection="1">
      <alignment horizontal="center" vertical="center"/>
      <protection locked="0"/>
    </xf>
    <xf numFmtId="0" fontId="43" fillId="0" borderId="0" xfId="0" applyFont="1" applyAlignment="1" applyProtection="1">
      <alignment vertical="center"/>
      <protection locked="0"/>
    </xf>
    <xf numFmtId="0" fontId="40" fillId="0" borderId="46" xfId="0" applyFont="1" applyBorder="1" applyAlignment="1" applyProtection="1">
      <alignment horizontal="center" vertical="center" wrapText="1"/>
      <protection locked="0"/>
    </xf>
    <xf numFmtId="0" fontId="15" fillId="0" borderId="46" xfId="0" applyFont="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40" fillId="12" borderId="61" xfId="0" applyFont="1" applyFill="1" applyBorder="1" applyAlignment="1" applyProtection="1">
      <alignment horizontal="center" vertical="center" wrapText="1"/>
      <protection locked="0"/>
    </xf>
    <xf numFmtId="0" fontId="40" fillId="12" borderId="46" xfId="0" applyFont="1" applyFill="1" applyBorder="1" applyAlignment="1" applyProtection="1">
      <alignment horizontal="center" vertical="center" wrapText="1"/>
      <protection locked="0"/>
    </xf>
    <xf numFmtId="0" fontId="44" fillId="12" borderId="46" xfId="0" applyFont="1" applyFill="1" applyBorder="1" applyAlignment="1" applyProtection="1">
      <alignment horizontal="center" vertical="center"/>
      <protection locked="0"/>
    </xf>
    <xf numFmtId="0" fontId="2" fillId="0" borderId="0" xfId="0" applyFont="1" applyAlignment="1">
      <alignment horizontal="center"/>
    </xf>
    <xf numFmtId="0" fontId="3" fillId="0" borderId="46" xfId="0" applyFont="1" applyBorder="1" applyAlignment="1" applyProtection="1">
      <alignment horizontal="center" vertical="center"/>
      <protection locked="0"/>
    </xf>
    <xf numFmtId="0" fontId="2" fillId="18" borderId="46" xfId="0" applyFont="1" applyFill="1" applyBorder="1" applyAlignment="1">
      <alignment horizontal="center"/>
    </xf>
    <xf numFmtId="0" fontId="2" fillId="19" borderId="46" xfId="0" applyFont="1" applyFill="1" applyBorder="1" applyAlignment="1">
      <alignment horizontal="center"/>
    </xf>
    <xf numFmtId="0" fontId="2" fillId="20" borderId="46" xfId="0" applyFont="1" applyFill="1" applyBorder="1" applyAlignment="1">
      <alignment horizontal="center"/>
    </xf>
    <xf numFmtId="0" fontId="2" fillId="8" borderId="46" xfId="0" applyFont="1" applyFill="1" applyBorder="1" applyAlignment="1">
      <alignment horizontal="center"/>
    </xf>
    <xf numFmtId="0" fontId="2" fillId="11" borderId="0" xfId="0" applyFont="1" applyFill="1" applyAlignment="1">
      <alignment horizontal="center"/>
    </xf>
    <xf numFmtId="0" fontId="3" fillId="19" borderId="19" xfId="0" applyFont="1" applyFill="1" applyBorder="1" applyAlignment="1" applyProtection="1">
      <alignment horizontal="center" vertical="center" wrapText="1"/>
      <protection locked="0"/>
    </xf>
    <xf numFmtId="0" fontId="3" fillId="22" borderId="19" xfId="0" applyFont="1" applyFill="1" applyBorder="1" applyAlignment="1" applyProtection="1">
      <alignment horizontal="center" vertical="center" wrapText="1"/>
      <protection locked="0"/>
    </xf>
    <xf numFmtId="0" fontId="3" fillId="22" borderId="21" xfId="0" applyFont="1" applyFill="1" applyBorder="1" applyAlignment="1" applyProtection="1">
      <alignment horizontal="center" vertical="center" wrapText="1"/>
      <protection locked="0"/>
    </xf>
    <xf numFmtId="0" fontId="3" fillId="21" borderId="34" xfId="0" applyFont="1" applyFill="1" applyBorder="1" applyAlignment="1" applyProtection="1">
      <alignment horizontal="center" vertical="center"/>
      <protection locked="0"/>
    </xf>
    <xf numFmtId="164" fontId="8" fillId="3" borderId="36" xfId="0" applyNumberFormat="1" applyFont="1" applyFill="1" applyBorder="1" applyAlignment="1">
      <alignment horizontal="center" vertical="center"/>
    </xf>
    <xf numFmtId="164" fontId="8" fillId="3" borderId="58" xfId="0" applyNumberFormat="1" applyFont="1" applyFill="1" applyBorder="1" applyAlignment="1">
      <alignment horizontal="center" vertical="center"/>
    </xf>
    <xf numFmtId="49" fontId="3" fillId="0" borderId="0" xfId="0" applyNumberFormat="1" applyFont="1" applyAlignment="1" applyProtection="1">
      <alignment vertical="center"/>
      <protection locked="0"/>
    </xf>
    <xf numFmtId="164" fontId="3" fillId="3" borderId="59" xfId="0" applyNumberFormat="1" applyFont="1" applyFill="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protection locked="0"/>
    </xf>
    <xf numFmtId="0" fontId="3" fillId="0" borderId="65"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0" fontId="15" fillId="0" borderId="0" xfId="0" applyFont="1" applyAlignment="1" applyProtection="1">
      <alignment vertical="center"/>
      <protection locked="0"/>
    </xf>
    <xf numFmtId="0" fontId="39" fillId="0" borderId="67" xfId="0" applyFont="1" applyBorder="1" applyAlignment="1" applyProtection="1">
      <alignment vertical="center"/>
      <protection locked="0"/>
    </xf>
    <xf numFmtId="0" fontId="16" fillId="0" borderId="67" xfId="0" applyFont="1" applyBorder="1" applyAlignment="1" applyProtection="1">
      <alignment vertical="center"/>
      <protection locked="0"/>
    </xf>
    <xf numFmtId="0" fontId="16" fillId="0" borderId="67" xfId="0" applyFont="1" applyBorder="1" applyAlignment="1" applyProtection="1">
      <alignment vertical="center" shrinkToFit="1"/>
      <protection locked="0"/>
    </xf>
    <xf numFmtId="14" fontId="16" fillId="0" borderId="67" xfId="0" applyNumberFormat="1" applyFont="1" applyBorder="1" applyAlignment="1" applyProtection="1">
      <alignment vertical="center"/>
      <protection locked="0"/>
    </xf>
    <xf numFmtId="0" fontId="13" fillId="0" borderId="69" xfId="0" applyFont="1" applyBorder="1" applyAlignment="1" applyProtection="1">
      <alignment vertical="center"/>
      <protection locked="0"/>
    </xf>
    <xf numFmtId="0" fontId="13" fillId="0" borderId="70" xfId="0" applyFont="1" applyBorder="1" applyAlignment="1" applyProtection="1">
      <alignment vertical="center"/>
      <protection locked="0"/>
    </xf>
    <xf numFmtId="0" fontId="17" fillId="0" borderId="70" xfId="0" applyFont="1" applyBorder="1" applyAlignment="1" applyProtection="1">
      <alignment horizontal="left" vertical="center"/>
      <protection locked="0"/>
    </xf>
    <xf numFmtId="0" fontId="16" fillId="0" borderId="70" xfId="0" applyFont="1" applyBorder="1" applyAlignment="1" applyProtection="1">
      <alignment vertical="center"/>
      <protection locked="0"/>
    </xf>
    <xf numFmtId="0" fontId="13" fillId="0" borderId="67"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5" fillId="0" borderId="71" xfId="0" applyFont="1" applyBorder="1" applyAlignment="1" applyProtection="1">
      <alignment vertical="center"/>
      <protection locked="0"/>
    </xf>
    <xf numFmtId="0" fontId="15" fillId="0" borderId="44" xfId="0" applyFont="1" applyBorder="1" applyAlignment="1" applyProtection="1">
      <alignment horizontal="left" vertical="center"/>
      <protection locked="0"/>
    </xf>
    <xf numFmtId="0" fontId="15" fillId="0" borderId="44" xfId="0" applyFont="1" applyBorder="1" applyAlignment="1" applyProtection="1">
      <alignment vertical="center"/>
      <protection locked="0"/>
    </xf>
    <xf numFmtId="0" fontId="16" fillId="0" borderId="44" xfId="0" applyFont="1" applyBorder="1" applyAlignment="1" applyProtection="1">
      <alignment vertical="center"/>
      <protection locked="0"/>
    </xf>
    <xf numFmtId="0" fontId="16" fillId="0" borderId="40" xfId="0" applyFont="1" applyBorder="1" applyAlignment="1" applyProtection="1">
      <alignment vertical="center"/>
      <protection locked="0"/>
    </xf>
    <xf numFmtId="0" fontId="3" fillId="0" borderId="44" xfId="0" applyFont="1" applyBorder="1" applyAlignment="1" applyProtection="1">
      <alignment vertical="center"/>
      <protection locked="0"/>
    </xf>
    <xf numFmtId="14" fontId="15" fillId="0" borderId="44" xfId="0" applyNumberFormat="1" applyFont="1" applyBorder="1" applyAlignment="1" applyProtection="1">
      <alignment vertical="center"/>
      <protection locked="0"/>
    </xf>
    <xf numFmtId="164" fontId="3" fillId="0" borderId="0" xfId="0" applyNumberFormat="1" applyFont="1" applyAlignment="1" applyProtection="1">
      <alignment vertical="center"/>
      <protection locked="0"/>
    </xf>
    <xf numFmtId="164" fontId="37" fillId="2" borderId="46" xfId="0" applyNumberFormat="1" applyFont="1" applyFill="1" applyBorder="1" applyAlignment="1">
      <alignment horizontal="center" vertical="center"/>
    </xf>
    <xf numFmtId="0" fontId="14" fillId="0" borderId="0" xfId="0" applyFont="1" applyAlignment="1" applyProtection="1">
      <alignment horizontal="right" vertical="center" shrinkToFit="1"/>
      <protection locked="0"/>
    </xf>
    <xf numFmtId="0" fontId="16" fillId="0" borderId="72" xfId="0" applyFont="1" applyBorder="1" applyAlignment="1" applyProtection="1">
      <alignment vertical="center"/>
      <protection locked="0"/>
    </xf>
    <xf numFmtId="0" fontId="16" fillId="0" borderId="68" xfId="0" applyFont="1" applyBorder="1" applyAlignment="1" applyProtection="1">
      <alignment vertical="center"/>
      <protection locked="0"/>
    </xf>
    <xf numFmtId="14" fontId="15" fillId="0" borderId="46" xfId="0" applyNumberFormat="1" applyFont="1" applyBorder="1" applyAlignment="1" applyProtection="1">
      <alignment horizontal="left" vertical="center"/>
      <protection locked="0"/>
    </xf>
    <xf numFmtId="0" fontId="15" fillId="0" borderId="67" xfId="0" applyFont="1" applyBorder="1" applyAlignment="1" applyProtection="1">
      <alignment vertical="center"/>
      <protection locked="0"/>
    </xf>
    <xf numFmtId="0" fontId="3" fillId="0" borderId="72" xfId="0" applyFont="1" applyBorder="1" applyAlignment="1" applyProtection="1">
      <alignment vertical="center"/>
      <protection locked="0"/>
    </xf>
    <xf numFmtId="0" fontId="3" fillId="0" borderId="78" xfId="0" applyFont="1" applyBorder="1" applyAlignment="1" applyProtection="1">
      <alignment vertical="center"/>
      <protection locked="0"/>
    </xf>
    <xf numFmtId="0" fontId="3" fillId="0" borderId="60" xfId="0" applyFont="1" applyBorder="1" applyAlignment="1" applyProtection="1">
      <alignment vertical="center"/>
      <protection locked="0"/>
    </xf>
    <xf numFmtId="0" fontId="12" fillId="19" borderId="73"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shrinkToFit="1"/>
      <protection locked="0"/>
    </xf>
    <xf numFmtId="0" fontId="5" fillId="9" borderId="47" xfId="0" applyFont="1" applyFill="1" applyBorder="1" applyAlignment="1" applyProtection="1">
      <alignment horizontal="center" vertical="center" shrinkToFit="1"/>
      <protection locked="0"/>
    </xf>
    <xf numFmtId="0" fontId="12" fillId="21" borderId="79" xfId="0" applyFont="1" applyFill="1" applyBorder="1" applyAlignment="1" applyProtection="1">
      <alignment vertical="center"/>
      <protection locked="0"/>
    </xf>
    <xf numFmtId="0" fontId="12" fillId="21" borderId="70" xfId="0" applyFont="1" applyFill="1" applyBorder="1" applyAlignment="1" applyProtection="1">
      <alignment vertical="center"/>
      <protection locked="0"/>
    </xf>
    <xf numFmtId="0" fontId="37" fillId="9" borderId="46" xfId="0" applyFont="1" applyFill="1" applyBorder="1" applyAlignment="1">
      <alignment horizontal="center" vertical="center"/>
    </xf>
    <xf numFmtId="1" fontId="37" fillId="9" borderId="46" xfId="0" applyNumberFormat="1" applyFont="1" applyFill="1" applyBorder="1" applyAlignment="1">
      <alignment horizontal="center" vertical="center"/>
    </xf>
    <xf numFmtId="0" fontId="25" fillId="8" borderId="46" xfId="2" applyFont="1" applyFill="1" applyBorder="1" applyAlignment="1" applyProtection="1">
      <alignment horizontal="center"/>
      <protection locked="0"/>
    </xf>
    <xf numFmtId="0" fontId="25" fillId="5" borderId="46" xfId="2" applyFont="1" applyFill="1" applyBorder="1" applyAlignment="1" applyProtection="1">
      <alignment horizontal="center"/>
      <protection locked="0"/>
    </xf>
    <xf numFmtId="0" fontId="21" fillId="25" borderId="61" xfId="0" applyFont="1" applyFill="1" applyBorder="1" applyAlignment="1">
      <alignment horizontal="center" vertical="center" wrapText="1"/>
    </xf>
    <xf numFmtId="0" fontId="3" fillId="0" borderId="46" xfId="0" applyFont="1" applyBorder="1" applyAlignment="1">
      <alignment horizontal="center" vertical="center"/>
    </xf>
    <xf numFmtId="0" fontId="5" fillId="0" borderId="46"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6" xfId="0" applyFont="1" applyBorder="1" applyAlignment="1" applyProtection="1">
      <alignment horizontal="center" vertical="center" wrapText="1"/>
      <protection locked="0"/>
    </xf>
    <xf numFmtId="0" fontId="21" fillId="25" borderId="46" xfId="0" applyFont="1" applyFill="1" applyBorder="1" applyAlignment="1">
      <alignment horizontal="center" vertical="center" wrapText="1"/>
    </xf>
    <xf numFmtId="0" fontId="15" fillId="0" borderId="46" xfId="0" applyFont="1" applyBorder="1" applyAlignment="1" applyProtection="1">
      <alignment horizontal="center" vertical="center" wrapText="1"/>
      <protection locked="0"/>
    </xf>
    <xf numFmtId="0" fontId="2" fillId="0" borderId="46"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0" fillId="17" borderId="46" xfId="0" applyFont="1" applyFill="1" applyBorder="1" applyAlignment="1">
      <alignment horizontal="center" vertical="center"/>
    </xf>
    <xf numFmtId="0" fontId="21" fillId="17" borderId="48" xfId="0" applyFont="1" applyFill="1" applyBorder="1" applyAlignment="1">
      <alignment horizontal="center" vertical="center"/>
    </xf>
    <xf numFmtId="0" fontId="20" fillId="26" borderId="46" xfId="0" applyFont="1" applyFill="1" applyBorder="1" applyAlignment="1">
      <alignment horizontal="center" vertical="center"/>
    </xf>
    <xf numFmtId="0" fontId="21" fillId="26" borderId="46" xfId="0" applyFont="1" applyFill="1" applyBorder="1" applyAlignment="1">
      <alignment horizontal="center" vertical="center"/>
    </xf>
    <xf numFmtId="0" fontId="20" fillId="17" borderId="46" xfId="0" applyFont="1" applyFill="1" applyBorder="1" applyAlignment="1">
      <alignment horizontal="center"/>
    </xf>
    <xf numFmtId="0" fontId="20" fillId="17" borderId="48" xfId="0" applyFont="1" applyFill="1" applyBorder="1"/>
    <xf numFmtId="0" fontId="20" fillId="26" borderId="46" xfId="0" applyFont="1" applyFill="1" applyBorder="1" applyAlignment="1">
      <alignment horizontal="center"/>
    </xf>
    <xf numFmtId="0" fontId="20" fillId="26" borderId="46" xfId="0" applyFont="1" applyFill="1" applyBorder="1" applyAlignment="1">
      <alignment wrapText="1"/>
    </xf>
    <xf numFmtId="0" fontId="34" fillId="0" borderId="46" xfId="0" applyFont="1" applyBorder="1" applyAlignment="1" applyProtection="1">
      <alignment horizontal="center"/>
      <protection locked="0"/>
    </xf>
    <xf numFmtId="14" fontId="15" fillId="0" borderId="0" xfId="0" applyNumberFormat="1" applyFont="1" applyAlignment="1" applyProtection="1">
      <alignment vertical="center"/>
      <protection locked="0"/>
    </xf>
    <xf numFmtId="0" fontId="3" fillId="0" borderId="46" xfId="0" applyFont="1" applyBorder="1" applyAlignment="1" applyProtection="1">
      <alignment vertical="center"/>
      <protection locked="0"/>
    </xf>
    <xf numFmtId="0" fontId="0" fillId="12" borderId="46" xfId="0" applyFill="1" applyBorder="1"/>
    <xf numFmtId="0" fontId="3" fillId="0" borderId="0" xfId="0"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17" borderId="81" xfId="0" applyFont="1" applyFill="1" applyBorder="1" applyAlignment="1" applyProtection="1">
      <alignment horizontal="center" vertical="center" wrapText="1"/>
      <protection locked="0"/>
    </xf>
    <xf numFmtId="0" fontId="3" fillId="17" borderId="81" xfId="0" applyFont="1" applyFill="1" applyBorder="1" applyAlignment="1" applyProtection="1">
      <alignment horizontal="center" vertical="center"/>
      <protection locked="0"/>
    </xf>
    <xf numFmtId="0" fontId="3" fillId="3" borderId="81" xfId="0" applyFont="1" applyFill="1" applyBorder="1" applyAlignment="1" applyProtection="1">
      <alignment horizontal="center" vertical="center" wrapText="1"/>
      <protection locked="0"/>
    </xf>
    <xf numFmtId="0" fontId="2" fillId="21" borderId="81" xfId="0" applyFont="1" applyFill="1" applyBorder="1" applyAlignment="1" applyProtection="1">
      <alignment horizontal="center" vertical="center" wrapText="1"/>
      <protection locked="0"/>
    </xf>
    <xf numFmtId="0" fontId="3" fillId="21" borderId="81" xfId="0" applyFont="1" applyFill="1" applyBorder="1" applyAlignment="1" applyProtection="1">
      <alignment horizontal="center" vertical="center" wrapText="1"/>
      <protection locked="0"/>
    </xf>
    <xf numFmtId="164" fontId="3" fillId="3" borderId="82" xfId="0" applyNumberFormat="1" applyFont="1" applyFill="1" applyBorder="1" applyAlignment="1" applyProtection="1">
      <alignment horizontal="center" vertical="center"/>
      <protection locked="0"/>
    </xf>
    <xf numFmtId="0" fontId="3" fillId="23" borderId="85" xfId="0" applyFont="1" applyFill="1" applyBorder="1" applyAlignment="1" applyProtection="1">
      <alignment horizontal="center" vertical="center" wrapText="1"/>
      <protection locked="0"/>
    </xf>
    <xf numFmtId="0" fontId="3" fillId="28" borderId="85" xfId="0" applyFont="1" applyFill="1" applyBorder="1" applyAlignment="1" applyProtection="1">
      <alignment horizontal="center" vertical="center" wrapText="1"/>
      <protection locked="0"/>
    </xf>
    <xf numFmtId="0" fontId="0" fillId="12" borderId="0" xfId="0" applyFill="1"/>
    <xf numFmtId="0" fontId="2" fillId="12" borderId="0" xfId="0" applyFont="1" applyFill="1"/>
    <xf numFmtId="0" fontId="0" fillId="12" borderId="0" xfId="0" applyFill="1" applyAlignment="1">
      <alignment horizontal="center"/>
    </xf>
    <xf numFmtId="0" fontId="2" fillId="12" borderId="0" xfId="0" applyFont="1" applyFill="1" applyAlignment="1">
      <alignment horizontal="center"/>
    </xf>
    <xf numFmtId="0" fontId="7" fillId="0" borderId="96" xfId="0" applyFont="1" applyBorder="1" applyAlignment="1" applyProtection="1">
      <alignment horizontal="center" vertical="center"/>
      <protection locked="0"/>
    </xf>
    <xf numFmtId="164" fontId="4" fillId="0" borderId="67" xfId="0" applyNumberFormat="1" applyFont="1" applyBorder="1" applyAlignment="1" applyProtection="1">
      <alignment vertical="center"/>
      <protection locked="0"/>
    </xf>
    <xf numFmtId="0" fontId="5" fillId="6" borderId="67" xfId="0" applyFont="1" applyFill="1" applyBorder="1" applyAlignment="1" applyProtection="1">
      <alignment horizontal="center" vertical="center" shrinkToFit="1"/>
      <protection locked="0"/>
    </xf>
    <xf numFmtId="0" fontId="5" fillId="6" borderId="67"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shrinkToFit="1"/>
      <protection locked="0"/>
    </xf>
    <xf numFmtId="0" fontId="5" fillId="9" borderId="46" xfId="0" applyFont="1" applyFill="1" applyBorder="1" applyAlignment="1" applyProtection="1">
      <alignment horizontal="center" vertical="center"/>
      <protection locked="0"/>
    </xf>
    <xf numFmtId="0" fontId="3" fillId="3" borderId="102" xfId="0" applyFont="1" applyFill="1" applyBorder="1" applyAlignment="1" applyProtection="1">
      <alignment horizontal="center" vertical="center" wrapText="1"/>
      <protection locked="0"/>
    </xf>
    <xf numFmtId="0" fontId="52" fillId="0" borderId="46" xfId="0" applyFont="1" applyBorder="1" applyAlignment="1" applyProtection="1">
      <alignment horizontal="center" vertical="center"/>
      <protection locked="0"/>
    </xf>
    <xf numFmtId="49" fontId="52" fillId="0" borderId="73" xfId="0" applyNumberFormat="1" applyFont="1" applyBorder="1" applyAlignment="1" applyProtection="1">
      <alignment horizontal="center" vertical="center"/>
      <protection locked="0"/>
    </xf>
    <xf numFmtId="0" fontId="52" fillId="0" borderId="71"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5" fillId="0" borderId="0" xfId="0" applyFont="1" applyAlignment="1" applyProtection="1">
      <alignment horizontal="right" vertical="center" shrinkToFit="1"/>
      <protection locked="0"/>
    </xf>
    <xf numFmtId="0" fontId="3" fillId="0" borderId="46"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10" xfId="0" applyFont="1" applyBorder="1" applyAlignment="1" applyProtection="1">
      <alignment horizontal="center" vertical="center"/>
      <protection locked="0"/>
    </xf>
    <xf numFmtId="0" fontId="11" fillId="0" borderId="24" xfId="0" applyFont="1" applyBorder="1" applyAlignment="1" applyProtection="1">
      <alignment horizontal="center" vertical="center" wrapText="1" shrinkToFit="1"/>
      <protection locked="0"/>
    </xf>
    <xf numFmtId="0" fontId="11" fillId="0" borderId="103" xfId="0" applyFont="1" applyBorder="1" applyAlignment="1" applyProtection="1">
      <alignment horizontal="center" vertical="center" wrapText="1" shrinkToFit="1"/>
      <protection locked="0"/>
    </xf>
    <xf numFmtId="0" fontId="33" fillId="0" borderId="109" xfId="0" applyFont="1" applyBorder="1" applyAlignment="1" applyProtection="1">
      <alignment horizontal="center" vertical="center" wrapText="1"/>
      <protection locked="0"/>
    </xf>
    <xf numFmtId="0" fontId="11" fillId="0" borderId="103" xfId="0" applyFont="1" applyBorder="1" applyAlignment="1" applyProtection="1">
      <alignment horizontal="center" vertical="center" wrapText="1"/>
      <protection locked="0"/>
    </xf>
    <xf numFmtId="0" fontId="11" fillId="0" borderId="103"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164" fontId="11" fillId="3" borderId="104" xfId="0" applyNumberFormat="1" applyFont="1" applyFill="1" applyBorder="1" applyAlignment="1">
      <alignment horizontal="center" vertical="center"/>
    </xf>
    <xf numFmtId="0" fontId="11" fillId="0" borderId="10"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6" xfId="0" applyFont="1" applyBorder="1" applyAlignment="1" applyProtection="1">
      <alignment horizontal="center" vertical="center" wrapText="1" shrinkToFit="1"/>
      <protection locked="0"/>
    </xf>
    <xf numFmtId="0" fontId="33" fillId="0" borderId="2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protection locked="0"/>
    </xf>
    <xf numFmtId="0" fontId="11" fillId="0" borderId="108" xfId="0" applyFont="1" applyBorder="1" applyAlignment="1" applyProtection="1">
      <alignment horizontal="center" vertical="center" wrapText="1"/>
      <protection locked="0"/>
    </xf>
    <xf numFmtId="164" fontId="11" fillId="3" borderId="105" xfId="0" applyNumberFormat="1" applyFont="1" applyFill="1" applyBorder="1" applyAlignment="1">
      <alignment horizontal="center" vertical="center"/>
    </xf>
    <xf numFmtId="0" fontId="11" fillId="0" borderId="88"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31" xfId="0" applyFont="1" applyBorder="1" applyAlignment="1" applyProtection="1">
      <alignment horizontal="center" vertical="center" wrapText="1" shrinkToFit="1"/>
      <protection locked="0"/>
    </xf>
    <xf numFmtId="0" fontId="33" fillId="0" borderId="3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shrinkToFit="1"/>
      <protection locked="0"/>
    </xf>
    <xf numFmtId="0" fontId="11" fillId="0" borderId="41" xfId="0" applyFont="1" applyBorder="1" applyAlignment="1" applyProtection="1">
      <alignment horizontal="center" vertical="center" wrapText="1"/>
      <protection locked="0"/>
    </xf>
    <xf numFmtId="0" fontId="11" fillId="0" borderId="89" xfId="0" applyFont="1" applyBorder="1" applyAlignment="1" applyProtection="1">
      <alignment horizontal="center" vertical="center" wrapText="1"/>
      <protection locked="0"/>
    </xf>
    <xf numFmtId="164" fontId="11" fillId="3" borderId="106" xfId="0" applyNumberFormat="1" applyFont="1" applyFill="1" applyBorder="1" applyAlignment="1">
      <alignment horizontal="center" vertical="center"/>
    </xf>
    <xf numFmtId="0" fontId="11" fillId="0" borderId="53"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94" xfId="0" applyFont="1" applyBorder="1" applyAlignment="1" applyProtection="1">
      <alignment horizontal="center" vertical="center"/>
      <protection locked="0"/>
    </xf>
    <xf numFmtId="0" fontId="11" fillId="0" borderId="115"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11" fillId="0" borderId="97"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shrinkToFit="1"/>
      <protection locked="0"/>
    </xf>
    <xf numFmtId="0" fontId="52" fillId="9" borderId="46" xfId="0" applyFont="1" applyFill="1" applyBorder="1" applyAlignment="1">
      <alignment horizontal="center" vertical="center" wrapText="1"/>
    </xf>
    <xf numFmtId="0" fontId="34" fillId="0" borderId="48" xfId="0" applyFont="1" applyBorder="1" applyAlignment="1">
      <alignment horizontal="center"/>
    </xf>
    <xf numFmtId="0" fontId="34" fillId="0" borderId="40" xfId="0" applyFont="1" applyBorder="1" applyAlignment="1">
      <alignment horizontal="center"/>
    </xf>
    <xf numFmtId="0" fontId="34" fillId="0" borderId="47" xfId="0" applyFont="1" applyBorder="1" applyAlignment="1">
      <alignment horizontal="center"/>
    </xf>
    <xf numFmtId="0" fontId="0" fillId="27" borderId="0" xfId="0" applyFill="1" applyProtection="1">
      <protection locked="0"/>
    </xf>
    <xf numFmtId="0" fontId="26" fillId="2" borderId="48" xfId="2" applyFont="1" applyFill="1" applyBorder="1" applyAlignment="1" applyProtection="1">
      <alignment horizontal="left" vertical="center" wrapText="1"/>
      <protection locked="0"/>
    </xf>
    <xf numFmtId="0" fontId="26" fillId="2" borderId="40" xfId="2" applyFont="1" applyFill="1" applyBorder="1" applyAlignment="1" applyProtection="1">
      <alignment horizontal="left" vertical="center" wrapText="1"/>
      <protection locked="0"/>
    </xf>
    <xf numFmtId="0" fontId="26" fillId="2" borderId="47" xfId="2" applyFont="1" applyFill="1" applyBorder="1" applyAlignment="1" applyProtection="1">
      <alignment horizontal="left" vertical="center" wrapText="1"/>
      <protection locked="0"/>
    </xf>
    <xf numFmtId="0" fontId="28" fillId="0" borderId="48" xfId="2" applyFont="1" applyBorder="1" applyAlignment="1" applyProtection="1">
      <alignment vertical="center"/>
      <protection locked="0"/>
    </xf>
    <xf numFmtId="0" fontId="28" fillId="0" borderId="40" xfId="2" applyFont="1" applyBorder="1" applyAlignment="1" applyProtection="1">
      <alignment vertical="center"/>
      <protection locked="0"/>
    </xf>
    <xf numFmtId="0" fontId="28" fillId="0" borderId="47" xfId="2" applyFont="1" applyBorder="1" applyAlignment="1" applyProtection="1">
      <alignment vertical="center"/>
      <protection locked="0"/>
    </xf>
    <xf numFmtId="0" fontId="29" fillId="0" borderId="46" xfId="2" applyFont="1" applyBorder="1" applyProtection="1">
      <protection locked="0"/>
    </xf>
    <xf numFmtId="0" fontId="28" fillId="0" borderId="46" xfId="2" applyFont="1" applyBorder="1" applyAlignment="1" applyProtection="1">
      <alignment vertical="center"/>
      <protection locked="0"/>
    </xf>
    <xf numFmtId="0" fontId="25" fillId="0" borderId="46" xfId="2" applyFont="1" applyBorder="1" applyProtection="1">
      <protection locked="0"/>
    </xf>
    <xf numFmtId="0" fontId="26" fillId="0" borderId="46" xfId="2" applyFont="1" applyBorder="1" applyAlignment="1" applyProtection="1">
      <alignment horizontal="left" vertical="center" wrapText="1"/>
      <protection locked="0"/>
    </xf>
    <xf numFmtId="0" fontId="25" fillId="0" borderId="46" xfId="2" applyFont="1" applyBorder="1" applyAlignment="1" applyProtection="1">
      <alignment horizontal="left" vertical="center" wrapText="1"/>
      <protection locked="0"/>
    </xf>
    <xf numFmtId="0" fontId="30" fillId="0" borderId="46" xfId="2" applyFont="1" applyBorder="1" applyProtection="1">
      <protection locked="0"/>
    </xf>
    <xf numFmtId="0" fontId="30" fillId="0" borderId="46" xfId="2" applyFont="1" applyBorder="1" applyAlignment="1" applyProtection="1">
      <alignment horizontal="left"/>
      <protection locked="0"/>
    </xf>
    <xf numFmtId="165" fontId="30" fillId="0" borderId="46" xfId="2" applyNumberFormat="1" applyFont="1" applyBorder="1" applyAlignment="1" applyProtection="1">
      <alignment horizontal="left"/>
      <protection locked="0"/>
    </xf>
    <xf numFmtId="0" fontId="25" fillId="0" borderId="46" xfId="2" applyFont="1" applyBorder="1" applyAlignment="1" applyProtection="1">
      <alignment vertical="center"/>
      <protection locked="0"/>
    </xf>
    <xf numFmtId="0" fontId="30" fillId="14" borderId="48" xfId="2" applyFont="1" applyFill="1" applyBorder="1" applyAlignment="1" applyProtection="1">
      <alignment horizontal="left"/>
      <protection locked="0"/>
    </xf>
    <xf numFmtId="0" fontId="30" fillId="14" borderId="40" xfId="2" applyFont="1" applyFill="1" applyBorder="1" applyAlignment="1" applyProtection="1">
      <alignment horizontal="left"/>
      <protection locked="0"/>
    </xf>
    <xf numFmtId="0" fontId="25" fillId="14" borderId="47" xfId="2" applyFont="1" applyFill="1" applyBorder="1" applyAlignment="1" applyProtection="1">
      <alignment horizontal="left"/>
      <protection locked="0"/>
    </xf>
    <xf numFmtId="0" fontId="26" fillId="0" borderId="46" xfId="0" applyFont="1" applyBorder="1" applyAlignment="1">
      <alignment horizontal="left" vertical="center"/>
    </xf>
    <xf numFmtId="0" fontId="31" fillId="0" borderId="46" xfId="3" applyBorder="1" applyAlignment="1">
      <alignment horizontal="left" vertical="center"/>
      <protection locked="0"/>
    </xf>
    <xf numFmtId="0" fontId="2" fillId="0" borderId="46" xfId="0" applyFont="1" applyBorder="1" applyAlignment="1" applyProtection="1">
      <alignment horizontal="left" vertical="center"/>
      <protection locked="0"/>
    </xf>
    <xf numFmtId="0" fontId="33" fillId="0" borderId="46" xfId="2" applyFont="1" applyBorder="1" applyProtection="1">
      <protection locked="0"/>
    </xf>
    <xf numFmtId="0" fontId="33" fillId="0" borderId="46" xfId="2" applyFont="1" applyBorder="1" applyAlignment="1" applyProtection="1">
      <alignment horizontal="center"/>
      <protection locked="0"/>
    </xf>
    <xf numFmtId="0" fontId="32" fillId="15" borderId="46" xfId="2" applyFont="1" applyFill="1" applyBorder="1" applyAlignment="1" applyProtection="1">
      <alignment horizontal="center"/>
      <protection locked="0"/>
    </xf>
    <xf numFmtId="0" fontId="32" fillId="16" borderId="48" xfId="2" applyFont="1" applyFill="1" applyBorder="1" applyAlignment="1">
      <alignment horizontal="center"/>
    </xf>
    <xf numFmtId="0" fontId="32" fillId="16" borderId="40" xfId="2" applyFont="1" applyFill="1" applyBorder="1" applyAlignment="1">
      <alignment horizontal="center"/>
    </xf>
    <xf numFmtId="0" fontId="32" fillId="16" borderId="47" xfId="2" applyFont="1" applyFill="1" applyBorder="1" applyAlignment="1">
      <alignment horizontal="center"/>
    </xf>
    <xf numFmtId="0" fontId="11" fillId="0" borderId="9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11" fillId="0" borderId="92"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5" fillId="0" borderId="48"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46" xfId="0" applyFont="1" applyBorder="1" applyAlignment="1" applyProtection="1">
      <alignment horizontal="center" vertical="center"/>
      <protection locked="0"/>
    </xf>
    <xf numFmtId="0" fontId="53" fillId="11" borderId="70" xfId="0" applyFont="1" applyFill="1" applyBorder="1" applyAlignment="1" applyProtection="1">
      <alignment horizontal="center" vertical="center"/>
      <protection locked="0"/>
    </xf>
    <xf numFmtId="0" fontId="53" fillId="11" borderId="72" xfId="0" applyFont="1" applyFill="1" applyBorder="1" applyAlignment="1" applyProtection="1">
      <alignment horizontal="center" vertical="center"/>
      <protection locked="0"/>
    </xf>
    <xf numFmtId="0" fontId="53" fillId="11" borderId="0" xfId="0" applyFont="1" applyFill="1" applyAlignment="1" applyProtection="1">
      <alignment horizontal="center" vertical="center"/>
      <protection locked="0"/>
    </xf>
    <xf numFmtId="0" fontId="53" fillId="11" borderId="68" xfId="0" applyFont="1" applyFill="1" applyBorder="1" applyAlignment="1" applyProtection="1">
      <alignment horizontal="center" vertical="center"/>
      <protection locked="0"/>
    </xf>
    <xf numFmtId="0" fontId="53" fillId="11" borderId="44" xfId="0" applyFont="1" applyFill="1" applyBorder="1" applyAlignment="1" applyProtection="1">
      <alignment horizontal="center" vertical="center"/>
      <protection locked="0"/>
    </xf>
    <xf numFmtId="0" fontId="53" fillId="11" borderId="107" xfId="0" applyFont="1" applyFill="1" applyBorder="1" applyAlignment="1" applyProtection="1">
      <alignment horizontal="center" vertical="center"/>
      <protection locked="0"/>
    </xf>
    <xf numFmtId="0" fontId="11" fillId="0" borderId="111" xfId="0" applyFont="1" applyBorder="1" applyAlignment="1" applyProtection="1">
      <alignment horizontal="center" vertical="center"/>
      <protection locked="0"/>
    </xf>
    <xf numFmtId="0" fontId="3" fillId="23" borderId="83" xfId="0" applyFont="1" applyFill="1" applyBorder="1" applyAlignment="1" applyProtection="1">
      <alignment horizontal="center" vertical="center" wrapText="1"/>
      <protection locked="0"/>
    </xf>
    <xf numFmtId="0" fontId="11" fillId="0" borderId="90" xfId="0" applyFont="1" applyBorder="1" applyAlignment="1" applyProtection="1">
      <alignment horizontal="center" vertical="center"/>
      <protection locked="0"/>
    </xf>
    <xf numFmtId="14" fontId="15" fillId="0" borderId="48" xfId="0" applyNumberFormat="1" applyFont="1" applyBorder="1" applyAlignment="1" applyProtection="1">
      <alignment horizontal="left" vertical="center"/>
      <protection locked="0"/>
    </xf>
    <xf numFmtId="14" fontId="15" fillId="0" borderId="47" xfId="0" applyNumberFormat="1" applyFont="1" applyBorder="1" applyAlignment="1" applyProtection="1">
      <alignment horizontal="left" vertical="center"/>
      <protection locked="0"/>
    </xf>
    <xf numFmtId="0" fontId="12" fillId="17" borderId="73" xfId="0" applyFont="1" applyFill="1" applyBorder="1" applyAlignment="1" applyProtection="1">
      <alignment horizontal="center" vertical="center"/>
      <protection locked="0"/>
    </xf>
    <xf numFmtId="0" fontId="8" fillId="0" borderId="100"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54" fillId="0" borderId="48" xfId="0" applyFont="1" applyBorder="1" applyAlignment="1" applyProtection="1">
      <alignment horizontal="center" vertical="center"/>
      <protection locked="0"/>
    </xf>
    <xf numFmtId="0" fontId="54" fillId="0" borderId="40" xfId="0" applyFont="1" applyBorder="1" applyAlignment="1" applyProtection="1">
      <alignment horizontal="center" vertical="center"/>
      <protection locked="0"/>
    </xf>
    <xf numFmtId="0" fontId="54" fillId="0" borderId="47" xfId="0" applyFont="1" applyBorder="1" applyAlignment="1" applyProtection="1">
      <alignment horizontal="center" vertical="center"/>
      <protection locked="0"/>
    </xf>
    <xf numFmtId="0" fontId="46" fillId="0" borderId="69" xfId="0" applyFont="1" applyBorder="1" applyAlignment="1" applyProtection="1">
      <alignment horizontal="center" vertical="center"/>
      <protection locked="0"/>
    </xf>
    <xf numFmtId="0" fontId="46" fillId="0" borderId="70" xfId="0" applyFont="1" applyBorder="1" applyAlignment="1" applyProtection="1">
      <alignment horizontal="center" vertical="center"/>
      <protection locked="0"/>
    </xf>
    <xf numFmtId="0" fontId="3" fillId="3" borderId="98" xfId="0" applyFont="1" applyFill="1" applyBorder="1" applyAlignment="1" applyProtection="1">
      <alignment horizontal="center" vertical="center" wrapText="1"/>
      <protection locked="0"/>
    </xf>
    <xf numFmtId="0" fontId="3" fillId="3" borderId="99" xfId="0" applyFont="1" applyFill="1" applyBorder="1" applyAlignment="1" applyProtection="1">
      <alignment horizontal="center" vertical="center" wrapText="1"/>
      <protection locked="0"/>
    </xf>
    <xf numFmtId="0" fontId="3" fillId="3" borderId="83" xfId="0" applyFont="1" applyFill="1" applyBorder="1" applyAlignment="1" applyProtection="1">
      <alignment horizontal="center" vertical="center" wrapText="1"/>
      <protection locked="0"/>
    </xf>
    <xf numFmtId="0" fontId="3" fillId="3" borderId="85" xfId="0" applyFont="1" applyFill="1" applyBorder="1" applyAlignment="1" applyProtection="1">
      <alignment horizontal="center" vertical="center" wrapText="1"/>
      <protection locked="0"/>
    </xf>
    <xf numFmtId="0" fontId="12" fillId="19" borderId="15" xfId="0" applyFont="1" applyFill="1" applyBorder="1" applyAlignment="1" applyProtection="1">
      <alignment horizontal="center" vertical="center"/>
      <protection locked="0"/>
    </xf>
    <xf numFmtId="0" fontId="12" fillId="19" borderId="60" xfId="0" applyFont="1" applyFill="1" applyBorder="1" applyAlignment="1" applyProtection="1">
      <alignment horizontal="center" vertical="center"/>
      <protection locked="0"/>
    </xf>
    <xf numFmtId="0" fontId="3" fillId="28" borderId="83" xfId="0" applyFont="1" applyFill="1" applyBorder="1" applyAlignment="1" applyProtection="1">
      <alignment horizontal="center" vertical="center" wrapText="1"/>
      <protection locked="0"/>
    </xf>
    <xf numFmtId="0" fontId="11" fillId="0" borderId="112"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0" fontId="11" fillId="0" borderId="114"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3" fillId="24" borderId="83" xfId="0" applyFont="1" applyFill="1" applyBorder="1" applyAlignment="1" applyProtection="1">
      <alignment horizontal="center" vertical="center" wrapText="1"/>
      <protection locked="0"/>
    </xf>
    <xf numFmtId="0" fontId="3" fillId="24" borderId="85" xfId="0" applyFont="1" applyFill="1" applyBorder="1" applyAlignment="1" applyProtection="1">
      <alignment horizontal="center" vertical="center" wrapText="1"/>
      <protection locked="0"/>
    </xf>
    <xf numFmtId="0" fontId="3" fillId="28" borderId="85" xfId="0" applyFont="1" applyFill="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0" fontId="5" fillId="0" borderId="84"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49" fillId="0" borderId="48" xfId="0" applyFont="1" applyBorder="1" applyAlignment="1" applyProtection="1">
      <alignment horizontal="left" vertical="center"/>
      <protection locked="0"/>
    </xf>
    <xf numFmtId="0" fontId="49" fillId="0" borderId="40" xfId="0" applyFont="1" applyBorder="1" applyAlignment="1" applyProtection="1">
      <alignment horizontal="left" vertical="center"/>
      <protection locked="0"/>
    </xf>
    <xf numFmtId="0" fontId="49"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47" xfId="0" applyFont="1" applyBorder="1" applyAlignment="1" applyProtection="1">
      <alignment horizontal="left" vertical="center" shrinkToFit="1"/>
      <protection locked="0"/>
    </xf>
    <xf numFmtId="14" fontId="2" fillId="0" borderId="48" xfId="0" applyNumberFormat="1" applyFont="1" applyBorder="1" applyAlignment="1" applyProtection="1">
      <alignment horizontal="left" vertical="center"/>
      <protection locked="0"/>
    </xf>
    <xf numFmtId="14" fontId="2" fillId="0" borderId="40" xfId="0" applyNumberFormat="1" applyFont="1" applyBorder="1" applyAlignment="1" applyProtection="1">
      <alignment horizontal="left" vertical="center"/>
      <protection locked="0"/>
    </xf>
    <xf numFmtId="14" fontId="2" fillId="0" borderId="47" xfId="0" applyNumberFormat="1" applyFont="1" applyBorder="1" applyAlignment="1" applyProtection="1">
      <alignment horizontal="left" vertical="center"/>
      <protection locked="0"/>
    </xf>
    <xf numFmtId="0" fontId="48" fillId="4" borderId="14" xfId="0" applyFont="1" applyFill="1" applyBorder="1" applyAlignment="1" applyProtection="1">
      <alignment horizontal="center" vertical="center" wrapText="1"/>
      <protection locked="0"/>
    </xf>
    <xf numFmtId="0" fontId="30" fillId="0" borderId="7" xfId="0" applyFont="1" applyBorder="1" applyAlignment="1" applyProtection="1">
      <alignment horizontal="center"/>
      <protection locked="0"/>
    </xf>
    <xf numFmtId="0" fontId="30" fillId="0" borderId="7" xfId="0" applyFont="1" applyBorder="1" applyProtection="1">
      <protection locked="0"/>
    </xf>
    <xf numFmtId="0" fontId="30" fillId="0" borderId="0" xfId="0" applyFont="1" applyProtection="1">
      <protection locked="0"/>
    </xf>
    <xf numFmtId="0" fontId="30" fillId="0" borderId="13" xfId="0" applyFont="1" applyBorder="1" applyProtection="1">
      <protection locked="0"/>
    </xf>
    <xf numFmtId="0" fontId="9" fillId="8" borderId="0" xfId="0" applyFont="1" applyFill="1" applyAlignment="1" applyProtection="1">
      <alignment horizontal="center" vertical="center"/>
      <protection locked="0"/>
    </xf>
    <xf numFmtId="0" fontId="9" fillId="8" borderId="68" xfId="0" applyFont="1" applyFill="1" applyBorder="1" applyAlignment="1" applyProtection="1">
      <alignment horizontal="center" vertical="center"/>
      <protection locked="0"/>
    </xf>
    <xf numFmtId="0" fontId="49" fillId="0" borderId="46" xfId="0" applyFont="1" applyBorder="1" applyAlignment="1">
      <alignment horizontal="left" vertical="center"/>
    </xf>
    <xf numFmtId="0" fontId="3" fillId="0" borderId="3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18" fillId="0" borderId="46" xfId="0" applyFont="1" applyBorder="1" applyAlignment="1" applyProtection="1">
      <alignment horizontal="center" vertical="center"/>
      <protection locked="0"/>
    </xf>
    <xf numFmtId="0" fontId="47" fillId="21" borderId="75" xfId="0" applyFont="1" applyFill="1" applyBorder="1" applyAlignment="1" applyProtection="1">
      <alignment horizontal="center" vertical="center" wrapText="1" shrinkToFit="1"/>
      <protection locked="0"/>
    </xf>
    <xf numFmtId="0" fontId="47" fillId="21" borderId="76" xfId="0" applyFont="1" applyFill="1" applyBorder="1" applyAlignment="1" applyProtection="1">
      <alignment horizontal="center" vertical="center" wrapText="1" shrinkToFit="1"/>
      <protection locked="0"/>
    </xf>
    <xf numFmtId="0" fontId="47" fillId="21" borderId="77" xfId="0" applyFont="1" applyFill="1" applyBorder="1" applyAlignment="1" applyProtection="1">
      <alignment horizontal="center" vertical="center" wrapText="1" shrinkToFit="1"/>
      <protection locked="0"/>
    </xf>
    <xf numFmtId="0" fontId="47" fillId="21" borderId="66" xfId="0" applyFont="1" applyFill="1" applyBorder="1" applyAlignment="1" applyProtection="1">
      <alignment horizontal="center" vertical="center" wrapText="1" shrinkToFit="1"/>
      <protection locked="0"/>
    </xf>
    <xf numFmtId="0" fontId="46" fillId="0" borderId="48" xfId="0" applyFont="1" applyBorder="1" applyAlignment="1" applyProtection="1">
      <alignment horizontal="center" vertical="center"/>
      <protection locked="0"/>
    </xf>
    <xf numFmtId="0" fontId="46" fillId="0" borderId="40"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12" fillId="21" borderId="69" xfId="0" applyFont="1" applyFill="1" applyBorder="1" applyAlignment="1" applyProtection="1">
      <alignment horizontal="center" vertical="center"/>
      <protection locked="0"/>
    </xf>
    <xf numFmtId="0" fontId="12" fillId="21" borderId="7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2" fillId="19" borderId="73" xfId="0" applyFont="1" applyFill="1" applyBorder="1" applyAlignment="1" applyProtection="1">
      <alignment horizontal="center" vertical="center"/>
      <protection locked="0"/>
    </xf>
    <xf numFmtId="0" fontId="2" fillId="0" borderId="46" xfId="0" applyFont="1" applyBorder="1" applyAlignment="1">
      <alignment horizontal="left" vertical="center"/>
    </xf>
    <xf numFmtId="0" fontId="2" fillId="0" borderId="46" xfId="0" applyFont="1" applyBorder="1" applyAlignment="1">
      <alignment horizontal="left" vertical="center" shrinkToFit="1"/>
    </xf>
    <xf numFmtId="14" fontId="2" fillId="0" borderId="46" xfId="0" applyNumberFormat="1" applyFont="1" applyBorder="1" applyAlignment="1">
      <alignment horizontal="left"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21" borderId="70" xfId="0" applyFont="1" applyFill="1" applyBorder="1" applyAlignment="1" applyProtection="1">
      <alignment horizontal="center" vertical="center"/>
      <protection locked="0"/>
    </xf>
    <xf numFmtId="0" fontId="12" fillId="21" borderId="72" xfId="0" applyFont="1" applyFill="1" applyBorder="1" applyAlignment="1" applyProtection="1">
      <alignment horizontal="center" vertical="center"/>
      <protection locked="0"/>
    </xf>
    <xf numFmtId="0" fontId="12" fillId="21" borderId="7" xfId="0" applyFont="1" applyFill="1" applyBorder="1" applyAlignment="1" applyProtection="1">
      <alignment horizontal="center" vertical="center"/>
      <protection locked="0"/>
    </xf>
    <xf numFmtId="0" fontId="12" fillId="21" borderId="78"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15" fillId="0" borderId="46" xfId="0" applyFont="1" applyBorder="1" applyAlignment="1" applyProtection="1">
      <alignment horizontal="left" vertical="center"/>
      <protection locked="0"/>
    </xf>
    <xf numFmtId="0" fontId="0" fillId="0" borderId="46" xfId="0" applyBorder="1" applyAlignment="1" applyProtection="1">
      <alignment horizontal="left"/>
      <protection locked="0"/>
    </xf>
    <xf numFmtId="0" fontId="18" fillId="0" borderId="48"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3" fillId="0" borderId="64"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45" fillId="0" borderId="17"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0" fontId="11" fillId="23" borderId="17" xfId="0" applyFont="1" applyFill="1" applyBorder="1" applyAlignment="1" applyProtection="1">
      <alignment horizontal="center" vertical="center"/>
      <protection locked="0"/>
    </xf>
    <xf numFmtId="0" fontId="11" fillId="23" borderId="11"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48" fillId="4" borderId="17" xfId="0" applyFont="1" applyFill="1" applyBorder="1" applyAlignment="1" applyProtection="1">
      <alignment horizontal="center" vertical="center" wrapText="1"/>
      <protection locked="0"/>
    </xf>
    <xf numFmtId="0" fontId="30" fillId="0" borderId="11" xfId="0" applyFont="1" applyBorder="1" applyAlignment="1" applyProtection="1">
      <alignment horizontal="center"/>
      <protection locked="0"/>
    </xf>
    <xf numFmtId="0" fontId="30" fillId="0" borderId="11" xfId="0" applyFont="1" applyBorder="1" applyProtection="1">
      <protection locked="0"/>
    </xf>
    <xf numFmtId="0" fontId="30" fillId="0" borderId="12" xfId="0" applyFont="1" applyBorder="1" applyProtection="1">
      <protection locked="0"/>
    </xf>
    <xf numFmtId="0" fontId="3" fillId="0" borderId="30"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 fillId="0" borderId="48" xfId="0" applyFont="1" applyBorder="1" applyAlignment="1">
      <alignment horizontal="left" vertical="center"/>
    </xf>
    <xf numFmtId="0" fontId="2" fillId="0" borderId="40" xfId="0" applyFont="1" applyBorder="1" applyAlignment="1">
      <alignment horizontal="left" vertical="center"/>
    </xf>
    <xf numFmtId="0" fontId="2" fillId="0" borderId="47" xfId="0" applyFont="1" applyBorder="1" applyAlignment="1">
      <alignment horizontal="left" vertical="center"/>
    </xf>
    <xf numFmtId="0" fontId="12" fillId="22" borderId="66" xfId="0" applyFont="1" applyFill="1" applyBorder="1" applyAlignment="1" applyProtection="1">
      <alignment horizontal="center" vertical="center"/>
      <protection locked="0"/>
    </xf>
    <xf numFmtId="0" fontId="12" fillId="22" borderId="15" xfId="0" applyFont="1" applyFill="1" applyBorder="1" applyAlignment="1" applyProtection="1">
      <alignment horizontal="center" vertical="center"/>
      <protection locked="0"/>
    </xf>
    <xf numFmtId="0" fontId="12" fillId="22" borderId="60"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19" fillId="11" borderId="48" xfId="2" applyFont="1" applyFill="1" applyBorder="1" applyAlignment="1">
      <alignment horizontal="center" vertical="center"/>
    </xf>
    <xf numFmtId="0" fontId="19" fillId="11" borderId="47" xfId="2" applyFont="1" applyFill="1" applyBorder="1" applyAlignment="1">
      <alignment horizontal="center" vertical="center"/>
    </xf>
  </cellXfs>
  <cellStyles count="4">
    <cellStyle name="Comma 2" xfId="1" xr:uid="{00000000-0005-0000-0000-000000000000}"/>
    <cellStyle name="Hyperlink" xfId="3" builtinId="8"/>
    <cellStyle name="Normal" xfId="0" builtinId="0"/>
    <cellStyle name="Normal 2" xfId="2" xr:uid="{00000000-0005-0000-0000-000003000000}"/>
  </cellStyles>
  <dxfs count="25">
    <dxf>
      <fill>
        <patternFill>
          <bgColor rgb="FF00B050"/>
        </patternFill>
      </fill>
    </dxf>
    <dxf>
      <fill>
        <patternFill>
          <bgColor rgb="FFFF0000"/>
        </patternFill>
      </fill>
    </dxf>
    <dxf>
      <font>
        <strike val="0"/>
        <color auto="1"/>
      </font>
      <fill>
        <patternFill>
          <bgColor rgb="FFFF0000"/>
        </patternFill>
      </fill>
    </dxf>
    <dxf>
      <font>
        <strike val="0"/>
        <color auto="1"/>
      </font>
      <fill>
        <patternFill>
          <bgColor rgb="FFFF0000"/>
        </patternFill>
      </fill>
    </dxf>
    <dxf>
      <fill>
        <patternFill>
          <bgColor rgb="FFFF0000"/>
        </patternFill>
      </fill>
    </dxf>
    <dxf>
      <font>
        <color rgb="FFFF0000"/>
      </font>
    </dxf>
    <dxf>
      <font>
        <color theme="0" tint="-0.2499465926084170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314325</xdr:colOff>
      <xdr:row>0</xdr:row>
      <xdr:rowOff>104775</xdr:rowOff>
    </xdr:from>
    <xdr:to>
      <xdr:col>7</xdr:col>
      <xdr:colOff>352425</xdr:colOff>
      <xdr:row>0</xdr:row>
      <xdr:rowOff>1000125</xdr:rowOff>
    </xdr:to>
    <xdr:pic>
      <xdr:nvPicPr>
        <xdr:cNvPr id="2" name="Picture 1" descr="CM Branding compressed.jpg">
          <a:extLst>
            <a:ext uri="{FF2B5EF4-FFF2-40B4-BE49-F238E27FC236}">
              <a16:creationId xmlns:a16="http://schemas.microsoft.com/office/drawing/2014/main" id="{085CA437-C3E5-4030-934D-15D3E916962C}"/>
            </a:ext>
          </a:extLst>
        </xdr:cNvPr>
        <xdr:cNvPicPr>
          <a:picLocks noChangeAspect="1"/>
        </xdr:cNvPicPr>
      </xdr:nvPicPr>
      <xdr:blipFill>
        <a:blip xmlns:r="http://schemas.openxmlformats.org/officeDocument/2006/relationships" r:embed="rId1" cstate="print"/>
        <a:srcRect/>
        <a:stretch>
          <a:fillRect/>
        </a:stretch>
      </xdr:blipFill>
      <xdr:spPr bwMode="auto">
        <a:xfrm>
          <a:off x="3981450" y="104775"/>
          <a:ext cx="3143250" cy="895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730194</xdr:colOff>
      <xdr:row>11</xdr:row>
      <xdr:rowOff>267494</xdr:rowOff>
    </xdr:from>
    <xdr:to>
      <xdr:col>5</xdr:col>
      <xdr:colOff>590903</xdr:colOff>
      <xdr:row>14</xdr:row>
      <xdr:rowOff>319881</xdr:rowOff>
    </xdr:to>
    <xdr:sp macro="" textlink="">
      <xdr:nvSpPr>
        <xdr:cNvPr id="1308" name="Text Box 284" hidden="1">
          <a:extLst>
            <a:ext uri="{FF2B5EF4-FFF2-40B4-BE49-F238E27FC236}">
              <a16:creationId xmlns:a16="http://schemas.microsoft.com/office/drawing/2014/main" id="{00000000-0008-0000-0100-00001C050000}"/>
            </a:ext>
          </a:extLst>
        </xdr:cNvPr>
        <xdr:cNvSpPr txBox="1">
          <a:spLocks noChangeArrowheads="1"/>
        </xdr:cNvSpPr>
      </xdr:nvSpPr>
      <xdr:spPr bwMode="auto">
        <a:xfrm>
          <a:off x="3933825" y="3857625"/>
          <a:ext cx="2114550" cy="10287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730194</xdr:colOff>
      <xdr:row>16</xdr:row>
      <xdr:rowOff>11981</xdr:rowOff>
    </xdr:from>
    <xdr:to>
      <xdr:col>5</xdr:col>
      <xdr:colOff>590903</xdr:colOff>
      <xdr:row>19</xdr:row>
      <xdr:rowOff>16745</xdr:rowOff>
    </xdr:to>
    <xdr:sp macro="" textlink="">
      <xdr:nvSpPr>
        <xdr:cNvPr id="1311" name="Text Box 287" hidden="1">
          <a:extLst>
            <a:ext uri="{FF2B5EF4-FFF2-40B4-BE49-F238E27FC236}">
              <a16:creationId xmlns:a16="http://schemas.microsoft.com/office/drawing/2014/main" id="{00000000-0008-0000-0100-00001F050000}"/>
            </a:ext>
          </a:extLst>
        </xdr:cNvPr>
        <xdr:cNvSpPr txBox="1">
          <a:spLocks noChangeArrowheads="1"/>
        </xdr:cNvSpPr>
      </xdr:nvSpPr>
      <xdr:spPr bwMode="auto">
        <a:xfrm>
          <a:off x="3933825" y="5238750"/>
          <a:ext cx="2114550" cy="981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750773</xdr:colOff>
      <xdr:row>18</xdr:row>
      <xdr:rowOff>94531</xdr:rowOff>
    </xdr:from>
    <xdr:to>
      <xdr:col>5</xdr:col>
      <xdr:colOff>590903</xdr:colOff>
      <xdr:row>21</xdr:row>
      <xdr:rowOff>108200</xdr:rowOff>
    </xdr:to>
    <xdr:sp macro="" textlink="">
      <xdr:nvSpPr>
        <xdr:cNvPr id="1313" name="Text Box 289" hidden="1">
          <a:extLst>
            <a:ext uri="{FF2B5EF4-FFF2-40B4-BE49-F238E27FC236}">
              <a16:creationId xmlns:a16="http://schemas.microsoft.com/office/drawing/2014/main" id="{00000000-0008-0000-0100-000021050000}"/>
            </a:ext>
          </a:extLst>
        </xdr:cNvPr>
        <xdr:cNvSpPr txBox="1">
          <a:spLocks noChangeArrowheads="1"/>
        </xdr:cNvSpPr>
      </xdr:nvSpPr>
      <xdr:spPr bwMode="auto">
        <a:xfrm>
          <a:off x="3952875" y="5972175"/>
          <a:ext cx="2095500" cy="10001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750773</xdr:colOff>
      <xdr:row>19</xdr:row>
      <xdr:rowOff>150095</xdr:rowOff>
    </xdr:from>
    <xdr:to>
      <xdr:col>5</xdr:col>
      <xdr:colOff>590903</xdr:colOff>
      <xdr:row>22</xdr:row>
      <xdr:rowOff>173130</xdr:rowOff>
    </xdr:to>
    <xdr:sp macro="" textlink="">
      <xdr:nvSpPr>
        <xdr:cNvPr id="1314" name="Text Box 290" hidden="1">
          <a:extLst>
            <a:ext uri="{FF2B5EF4-FFF2-40B4-BE49-F238E27FC236}">
              <a16:creationId xmlns:a16="http://schemas.microsoft.com/office/drawing/2014/main" id="{00000000-0008-0000-0100-000022050000}"/>
            </a:ext>
          </a:extLst>
        </xdr:cNvPr>
        <xdr:cNvSpPr txBox="1">
          <a:spLocks noChangeArrowheads="1"/>
        </xdr:cNvSpPr>
      </xdr:nvSpPr>
      <xdr:spPr bwMode="auto">
        <a:xfrm>
          <a:off x="3952875" y="6353175"/>
          <a:ext cx="2095500" cy="10191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17</xdr:row>
      <xdr:rowOff>10395</xdr:rowOff>
    </xdr:from>
    <xdr:to>
      <xdr:col>4</xdr:col>
      <xdr:colOff>376953</xdr:colOff>
      <xdr:row>19</xdr:row>
      <xdr:rowOff>126283</xdr:rowOff>
    </xdr:to>
    <xdr:sp macro="" textlink="">
      <xdr:nvSpPr>
        <xdr:cNvPr id="1276" name="Text Box 252" hidden="1">
          <a:extLst>
            <a:ext uri="{FF2B5EF4-FFF2-40B4-BE49-F238E27FC236}">
              <a16:creationId xmlns:a16="http://schemas.microsoft.com/office/drawing/2014/main" id="{00000000-0008-0000-0100-0000FC040000}"/>
            </a:ext>
          </a:extLst>
        </xdr:cNvPr>
        <xdr:cNvSpPr txBox="1">
          <a:spLocks noChangeArrowheads="1"/>
        </xdr:cNvSpPr>
      </xdr:nvSpPr>
      <xdr:spPr bwMode="auto">
        <a:xfrm>
          <a:off x="2171700" y="5562600"/>
          <a:ext cx="2533650" cy="7715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17</xdr:row>
      <xdr:rowOff>153270</xdr:rowOff>
    </xdr:from>
    <xdr:to>
      <xdr:col>4</xdr:col>
      <xdr:colOff>376953</xdr:colOff>
      <xdr:row>21</xdr:row>
      <xdr:rowOff>315692</xdr:rowOff>
    </xdr:to>
    <xdr:sp macro="" textlink="">
      <xdr:nvSpPr>
        <xdr:cNvPr id="1277" name="Text Box 253" hidden="1">
          <a:extLst>
            <a:ext uri="{FF2B5EF4-FFF2-40B4-BE49-F238E27FC236}">
              <a16:creationId xmlns:a16="http://schemas.microsoft.com/office/drawing/2014/main" id="{00000000-0008-0000-0100-0000FD040000}"/>
            </a:ext>
          </a:extLst>
        </xdr:cNvPr>
        <xdr:cNvSpPr txBox="1">
          <a:spLocks noChangeArrowheads="1"/>
        </xdr:cNvSpPr>
      </xdr:nvSpPr>
      <xdr:spPr bwMode="auto">
        <a:xfrm>
          <a:off x="2171700" y="5705475"/>
          <a:ext cx="2533650" cy="1485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18</xdr:row>
      <xdr:rowOff>85006</xdr:rowOff>
    </xdr:from>
    <xdr:to>
      <xdr:col>4</xdr:col>
      <xdr:colOff>376953</xdr:colOff>
      <xdr:row>22</xdr:row>
      <xdr:rowOff>152023</xdr:rowOff>
    </xdr:to>
    <xdr:sp macro="" textlink="">
      <xdr:nvSpPr>
        <xdr:cNvPr id="1278" name="Text Box 254" hidden="1">
          <a:extLst>
            <a:ext uri="{FF2B5EF4-FFF2-40B4-BE49-F238E27FC236}">
              <a16:creationId xmlns:a16="http://schemas.microsoft.com/office/drawing/2014/main" id="{00000000-0008-0000-0100-0000FE040000}"/>
            </a:ext>
          </a:extLst>
        </xdr:cNvPr>
        <xdr:cNvSpPr txBox="1">
          <a:spLocks noChangeArrowheads="1"/>
        </xdr:cNvSpPr>
      </xdr:nvSpPr>
      <xdr:spPr bwMode="auto">
        <a:xfrm>
          <a:off x="2171700" y="5962650"/>
          <a:ext cx="2533650" cy="14001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7</xdr:col>
      <xdr:colOff>106705</xdr:colOff>
      <xdr:row>18</xdr:row>
      <xdr:rowOff>85006</xdr:rowOff>
    </xdr:from>
    <xdr:to>
      <xdr:col>7</xdr:col>
      <xdr:colOff>351180</xdr:colOff>
      <xdr:row>24</xdr:row>
      <xdr:rowOff>235819</xdr:rowOff>
    </xdr:to>
    <xdr:sp macro="" textlink="">
      <xdr:nvSpPr>
        <xdr:cNvPr id="1350" name="Text Box 326" hidden="1">
          <a:extLst>
            <a:ext uri="{FF2B5EF4-FFF2-40B4-BE49-F238E27FC236}">
              <a16:creationId xmlns:a16="http://schemas.microsoft.com/office/drawing/2014/main" id="{00000000-0008-0000-0100-000046050000}"/>
            </a:ext>
          </a:extLst>
        </xdr:cNvPr>
        <xdr:cNvSpPr txBox="1">
          <a:spLocks noChangeArrowheads="1"/>
        </xdr:cNvSpPr>
      </xdr:nvSpPr>
      <xdr:spPr bwMode="auto">
        <a:xfrm>
          <a:off x="7829550" y="5962650"/>
          <a:ext cx="238125" cy="22288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oneCell">
    <xdr:from>
      <xdr:col>0</xdr:col>
      <xdr:colOff>44823</xdr:colOff>
      <xdr:row>0</xdr:row>
      <xdr:rowOff>70436</xdr:rowOff>
    </xdr:from>
    <xdr:to>
      <xdr:col>3</xdr:col>
      <xdr:colOff>468587</xdr:colOff>
      <xdr:row>2</xdr:row>
      <xdr:rowOff>179293</xdr:rowOff>
    </xdr:to>
    <xdr:pic>
      <xdr:nvPicPr>
        <xdr:cNvPr id="3" name="Picture 2">
          <a:extLst>
            <a:ext uri="{FF2B5EF4-FFF2-40B4-BE49-F238E27FC236}">
              <a16:creationId xmlns:a16="http://schemas.microsoft.com/office/drawing/2014/main" id="{125B2482-9F92-79D0-8505-8A4F80B08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 y="70436"/>
          <a:ext cx="3617440" cy="90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1008531</xdr:colOff>
      <xdr:row>0</xdr:row>
      <xdr:rowOff>56030</xdr:rowOff>
    </xdr:from>
    <xdr:to>
      <xdr:col>5</xdr:col>
      <xdr:colOff>302559</xdr:colOff>
      <xdr:row>2</xdr:row>
      <xdr:rowOff>254716</xdr:rowOff>
    </xdr:to>
    <xdr:pic>
      <xdr:nvPicPr>
        <xdr:cNvPr id="2" name="Picture 1">
          <a:extLst>
            <a:ext uri="{FF2B5EF4-FFF2-40B4-BE49-F238E27FC236}">
              <a16:creationId xmlns:a16="http://schemas.microsoft.com/office/drawing/2014/main" id="{81D8D6E1-3D37-440D-95B7-312AD2E77B66}"/>
            </a:ext>
          </a:extLst>
        </xdr:cNvPr>
        <xdr:cNvPicPr>
          <a:picLocks noChangeAspect="1"/>
        </xdr:cNvPicPr>
      </xdr:nvPicPr>
      <xdr:blipFill>
        <a:blip xmlns:r="http://schemas.openxmlformats.org/officeDocument/2006/relationships" r:embed="rId2"/>
        <a:stretch>
          <a:fillRect/>
        </a:stretch>
      </xdr:blipFill>
      <xdr:spPr>
        <a:xfrm>
          <a:off x="4202207" y="56030"/>
          <a:ext cx="1557617" cy="994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948752</xdr:colOff>
      <xdr:row>10</xdr:row>
      <xdr:rowOff>303212</xdr:rowOff>
    </xdr:from>
    <xdr:to>
      <xdr:col>5</xdr:col>
      <xdr:colOff>469194</xdr:colOff>
      <xdr:row>14</xdr:row>
      <xdr:rowOff>30162</xdr:rowOff>
    </xdr:to>
    <xdr:sp macro="" textlink="">
      <xdr:nvSpPr>
        <xdr:cNvPr id="3" name="Text Box 284" hidden="1">
          <a:extLst>
            <a:ext uri="{FF2B5EF4-FFF2-40B4-BE49-F238E27FC236}">
              <a16:creationId xmlns:a16="http://schemas.microsoft.com/office/drawing/2014/main" id="{00000000-0008-0000-0200-000003000000}"/>
            </a:ext>
          </a:extLst>
        </xdr:cNvPr>
        <xdr:cNvSpPr txBox="1">
          <a:spLocks noChangeArrowheads="1"/>
        </xdr:cNvSpPr>
      </xdr:nvSpPr>
      <xdr:spPr bwMode="auto">
        <a:xfrm>
          <a:off x="3044252" y="2095500"/>
          <a:ext cx="1367234" cy="6572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948752</xdr:colOff>
      <xdr:row>15</xdr:row>
      <xdr:rowOff>57149</xdr:rowOff>
    </xdr:from>
    <xdr:to>
      <xdr:col>5</xdr:col>
      <xdr:colOff>469194</xdr:colOff>
      <xdr:row>18</xdr:row>
      <xdr:rowOff>65313</xdr:rowOff>
    </xdr:to>
    <xdr:sp macro="" textlink="">
      <xdr:nvSpPr>
        <xdr:cNvPr id="4" name="Text Box 287" hidden="1">
          <a:extLst>
            <a:ext uri="{FF2B5EF4-FFF2-40B4-BE49-F238E27FC236}">
              <a16:creationId xmlns:a16="http://schemas.microsoft.com/office/drawing/2014/main" id="{00000000-0008-0000-0200-000004000000}"/>
            </a:ext>
          </a:extLst>
        </xdr:cNvPr>
        <xdr:cNvSpPr txBox="1">
          <a:spLocks noChangeArrowheads="1"/>
        </xdr:cNvSpPr>
      </xdr:nvSpPr>
      <xdr:spPr bwMode="auto">
        <a:xfrm>
          <a:off x="3044252" y="3009900"/>
          <a:ext cx="1367234" cy="613001"/>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969331</xdr:colOff>
      <xdr:row>17</xdr:row>
      <xdr:rowOff>144991</xdr:rowOff>
    </xdr:from>
    <xdr:to>
      <xdr:col>5</xdr:col>
      <xdr:colOff>469194</xdr:colOff>
      <xdr:row>20</xdr:row>
      <xdr:rowOff>175624</xdr:rowOff>
    </xdr:to>
    <xdr:sp macro="" textlink="">
      <xdr:nvSpPr>
        <xdr:cNvPr id="5" name="Text Box 289" hidden="1">
          <a:extLst>
            <a:ext uri="{FF2B5EF4-FFF2-40B4-BE49-F238E27FC236}">
              <a16:creationId xmlns:a16="http://schemas.microsoft.com/office/drawing/2014/main" id="{00000000-0008-0000-0200-000005000000}"/>
            </a:ext>
          </a:extLst>
        </xdr:cNvPr>
        <xdr:cNvSpPr txBox="1">
          <a:spLocks noChangeArrowheads="1"/>
        </xdr:cNvSpPr>
      </xdr:nvSpPr>
      <xdr:spPr bwMode="auto">
        <a:xfrm>
          <a:off x="3045781" y="3457575"/>
          <a:ext cx="1365705" cy="602133"/>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969331</xdr:colOff>
      <xdr:row>18</xdr:row>
      <xdr:rowOff>203955</xdr:rowOff>
    </xdr:from>
    <xdr:to>
      <xdr:col>5</xdr:col>
      <xdr:colOff>469194</xdr:colOff>
      <xdr:row>21</xdr:row>
      <xdr:rowOff>169652</xdr:rowOff>
    </xdr:to>
    <xdr:sp macro="" textlink="">
      <xdr:nvSpPr>
        <xdr:cNvPr id="6" name="Text Box 290" hidden="1">
          <a:extLst>
            <a:ext uri="{FF2B5EF4-FFF2-40B4-BE49-F238E27FC236}">
              <a16:creationId xmlns:a16="http://schemas.microsoft.com/office/drawing/2014/main" id="{00000000-0008-0000-0200-000006000000}"/>
            </a:ext>
          </a:extLst>
        </xdr:cNvPr>
        <xdr:cNvSpPr txBox="1">
          <a:spLocks noChangeArrowheads="1"/>
        </xdr:cNvSpPr>
      </xdr:nvSpPr>
      <xdr:spPr bwMode="auto">
        <a:xfrm>
          <a:off x="3045781" y="3746726"/>
          <a:ext cx="1365705" cy="440888"/>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16</xdr:row>
      <xdr:rowOff>55562</xdr:rowOff>
    </xdr:from>
    <xdr:to>
      <xdr:col>4</xdr:col>
      <xdr:colOff>472471</xdr:colOff>
      <xdr:row>18</xdr:row>
      <xdr:rowOff>180143</xdr:rowOff>
    </xdr:to>
    <xdr:sp macro="" textlink="">
      <xdr:nvSpPr>
        <xdr:cNvPr id="7" name="Text Box 252" hidden="1">
          <a:extLst>
            <a:ext uri="{FF2B5EF4-FFF2-40B4-BE49-F238E27FC236}">
              <a16:creationId xmlns:a16="http://schemas.microsoft.com/office/drawing/2014/main" id="{00000000-0008-0000-0200-000007000000}"/>
            </a:ext>
          </a:extLst>
        </xdr:cNvPr>
        <xdr:cNvSpPr txBox="1">
          <a:spLocks noChangeArrowheads="1"/>
        </xdr:cNvSpPr>
      </xdr:nvSpPr>
      <xdr:spPr bwMode="auto">
        <a:xfrm>
          <a:off x="1950206" y="3238500"/>
          <a:ext cx="1570265" cy="484414"/>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16</xdr:row>
      <xdr:rowOff>203729</xdr:rowOff>
    </xdr:from>
    <xdr:to>
      <xdr:col>4</xdr:col>
      <xdr:colOff>472471</xdr:colOff>
      <xdr:row>20</xdr:row>
      <xdr:rowOff>383116</xdr:rowOff>
    </xdr:to>
    <xdr:sp macro="" textlink="">
      <xdr:nvSpPr>
        <xdr:cNvPr id="8" name="Text Box 253" hidden="1">
          <a:extLst>
            <a:ext uri="{FF2B5EF4-FFF2-40B4-BE49-F238E27FC236}">
              <a16:creationId xmlns:a16="http://schemas.microsoft.com/office/drawing/2014/main" id="{00000000-0008-0000-0200-000008000000}"/>
            </a:ext>
          </a:extLst>
        </xdr:cNvPr>
        <xdr:cNvSpPr txBox="1">
          <a:spLocks noChangeArrowheads="1"/>
        </xdr:cNvSpPr>
      </xdr:nvSpPr>
      <xdr:spPr bwMode="auto">
        <a:xfrm>
          <a:off x="1950206" y="3286125"/>
          <a:ext cx="1570265" cy="9048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17</xdr:row>
      <xdr:rowOff>135466</xdr:rowOff>
    </xdr:from>
    <xdr:to>
      <xdr:col>4</xdr:col>
      <xdr:colOff>472471</xdr:colOff>
      <xdr:row>21</xdr:row>
      <xdr:rowOff>148545</xdr:rowOff>
    </xdr:to>
    <xdr:sp macro="" textlink="">
      <xdr:nvSpPr>
        <xdr:cNvPr id="9" name="Text Box 254" hidden="1">
          <a:extLst>
            <a:ext uri="{FF2B5EF4-FFF2-40B4-BE49-F238E27FC236}">
              <a16:creationId xmlns:a16="http://schemas.microsoft.com/office/drawing/2014/main" id="{00000000-0008-0000-0200-000009000000}"/>
            </a:ext>
          </a:extLst>
        </xdr:cNvPr>
        <xdr:cNvSpPr txBox="1">
          <a:spLocks noChangeArrowheads="1"/>
        </xdr:cNvSpPr>
      </xdr:nvSpPr>
      <xdr:spPr bwMode="auto">
        <a:xfrm>
          <a:off x="1950206" y="3448050"/>
          <a:ext cx="1570265" cy="747032"/>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6</xdr:col>
      <xdr:colOff>865037</xdr:colOff>
      <xdr:row>17</xdr:row>
      <xdr:rowOff>135466</xdr:rowOff>
    </xdr:from>
    <xdr:to>
      <xdr:col>6</xdr:col>
      <xdr:colOff>1119340</xdr:colOff>
      <xdr:row>21</xdr:row>
      <xdr:rowOff>974196</xdr:rowOff>
    </xdr:to>
    <xdr:sp macro="" textlink="">
      <xdr:nvSpPr>
        <xdr:cNvPr id="10" name="Text Box 326" hidden="1">
          <a:extLst>
            <a:ext uri="{FF2B5EF4-FFF2-40B4-BE49-F238E27FC236}">
              <a16:creationId xmlns:a16="http://schemas.microsoft.com/office/drawing/2014/main" id="{00000000-0008-0000-0200-00000A000000}"/>
            </a:ext>
          </a:extLst>
        </xdr:cNvPr>
        <xdr:cNvSpPr txBox="1">
          <a:spLocks noChangeArrowheads="1"/>
        </xdr:cNvSpPr>
      </xdr:nvSpPr>
      <xdr:spPr bwMode="auto">
        <a:xfrm>
          <a:off x="5337025" y="3448050"/>
          <a:ext cx="0" cy="933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oneCell">
    <xdr:from>
      <xdr:col>0</xdr:col>
      <xdr:colOff>71437</xdr:colOff>
      <xdr:row>0</xdr:row>
      <xdr:rowOff>59530</xdr:rowOff>
    </xdr:from>
    <xdr:to>
      <xdr:col>3</xdr:col>
      <xdr:colOff>346701</xdr:colOff>
      <xdr:row>1</xdr:row>
      <xdr:rowOff>218454</xdr:rowOff>
    </xdr:to>
    <xdr:pic>
      <xdr:nvPicPr>
        <xdr:cNvPr id="12" name="Picture 1" descr="Pacific Logo.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71437" y="59530"/>
          <a:ext cx="3239920" cy="504205"/>
        </a:xfrm>
        <a:prstGeom prst="rect">
          <a:avLst/>
        </a:prstGeom>
        <a:noFill/>
        <a:ln w="9525">
          <a:noFill/>
          <a:miter lim="800000"/>
          <a:headEnd/>
          <a:tailEnd/>
        </a:ln>
      </xdr:spPr>
    </xdr:pic>
    <xdr:clientData/>
  </xdr:twoCellAnchor>
  <xdr:twoCellAnchor editAs="oneCell">
    <xdr:from>
      <xdr:col>5</xdr:col>
      <xdr:colOff>214313</xdr:colOff>
      <xdr:row>0</xdr:row>
      <xdr:rowOff>35719</xdr:rowOff>
    </xdr:from>
    <xdr:to>
      <xdr:col>5</xdr:col>
      <xdr:colOff>927919</xdr:colOff>
      <xdr:row>0</xdr:row>
      <xdr:rowOff>334583</xdr:rowOff>
    </xdr:to>
    <xdr:pic>
      <xdr:nvPicPr>
        <xdr:cNvPr id="13" name="Picture 2" descr="D:\Shared\Deirdre\Logos\OPC logo.jp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8344" y="35719"/>
          <a:ext cx="713606" cy="298864"/>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Pacific Wholesale Distributors Shutter Orders" id="{58378A06-BC0C-4287-B757-B274C54EBD3A}" userId="4a1405146662771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G8" dT="2026-01-22T05:00:22.05" personId="{58378A06-BC0C-4287-B757-B274C54EBD3A}" id="{F67150D5-CF0B-493C-80ED-AEB9ED87FC8A}">
    <text>Make Aluinvisi instead of rack and pinion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uttersales@pacificwholesale.com.a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3" tint="0.79998168889431442"/>
    <pageSetUpPr fitToPage="1"/>
  </sheetPr>
  <dimension ref="A1:D102"/>
  <sheetViews>
    <sheetView topLeftCell="A76" workbookViewId="0">
      <selection activeCell="B16" sqref="B16"/>
    </sheetView>
  </sheetViews>
  <sheetFormatPr defaultRowHeight="15" x14ac:dyDescent="0.2"/>
  <cols>
    <col min="1" max="1" width="7.5546875" customWidth="1"/>
    <col min="2" max="2" width="44" customWidth="1"/>
    <col min="3" max="3" width="7.5546875" customWidth="1"/>
    <col min="4" max="4" width="81" customWidth="1"/>
  </cols>
  <sheetData>
    <row r="1" spans="1:4" ht="60" customHeight="1" x14ac:dyDescent="0.2">
      <c r="A1" s="290" t="s">
        <v>342</v>
      </c>
      <c r="B1" s="290"/>
      <c r="C1" s="290"/>
      <c r="D1" s="290"/>
    </row>
    <row r="2" spans="1:4" x14ac:dyDescent="0.2">
      <c r="A2" s="199" t="s">
        <v>343</v>
      </c>
      <c r="B2" s="200" t="s">
        <v>344</v>
      </c>
      <c r="C2" s="201" t="s">
        <v>343</v>
      </c>
      <c r="D2" s="202" t="s">
        <v>345</v>
      </c>
    </row>
    <row r="3" spans="1:4" ht="15.75" x14ac:dyDescent="0.25">
      <c r="A3" s="203">
        <v>1</v>
      </c>
      <c r="B3" s="204"/>
      <c r="C3" s="205">
        <v>1</v>
      </c>
      <c r="D3" s="206"/>
    </row>
    <row r="4" spans="1:4" ht="15.75" x14ac:dyDescent="0.25">
      <c r="A4" s="203">
        <v>2</v>
      </c>
      <c r="B4" s="204"/>
      <c r="C4" s="205">
        <v>2</v>
      </c>
      <c r="D4" s="206"/>
    </row>
    <row r="5" spans="1:4" ht="15.75" x14ac:dyDescent="0.25">
      <c r="A5" s="203">
        <v>3</v>
      </c>
      <c r="B5" s="204"/>
      <c r="C5" s="205">
        <v>3</v>
      </c>
      <c r="D5" s="206"/>
    </row>
    <row r="6" spans="1:4" ht="15.75" x14ac:dyDescent="0.25">
      <c r="A6" s="203">
        <v>4</v>
      </c>
      <c r="B6" s="204"/>
      <c r="C6" s="205">
        <v>4</v>
      </c>
      <c r="D6" s="206"/>
    </row>
    <row r="7" spans="1:4" ht="15.75" x14ac:dyDescent="0.25">
      <c r="A7" s="203">
        <v>5</v>
      </c>
      <c r="B7" s="204"/>
      <c r="C7" s="205">
        <v>5</v>
      </c>
      <c r="D7" s="206"/>
    </row>
    <row r="8" spans="1:4" ht="15.75" x14ac:dyDescent="0.25">
      <c r="A8" s="203">
        <v>6</v>
      </c>
      <c r="B8" s="204"/>
      <c r="C8" s="205">
        <v>6</v>
      </c>
      <c r="D8" s="206"/>
    </row>
    <row r="9" spans="1:4" ht="15.75" x14ac:dyDescent="0.25">
      <c r="A9" s="203">
        <v>7</v>
      </c>
      <c r="B9" s="204"/>
      <c r="C9" s="205">
        <v>7</v>
      </c>
      <c r="D9" s="206"/>
    </row>
    <row r="10" spans="1:4" ht="15.75" x14ac:dyDescent="0.25">
      <c r="A10" s="203">
        <v>8</v>
      </c>
      <c r="B10" s="204"/>
      <c r="C10" s="205">
        <v>8</v>
      </c>
      <c r="D10" s="206"/>
    </row>
    <row r="11" spans="1:4" ht="15.75" x14ac:dyDescent="0.25">
      <c r="A11" s="203">
        <v>9</v>
      </c>
      <c r="B11" s="204"/>
      <c r="C11" s="205">
        <v>9</v>
      </c>
      <c r="D11" s="206"/>
    </row>
    <row r="12" spans="1:4" ht="15.75" x14ac:dyDescent="0.25">
      <c r="A12" s="203">
        <v>10</v>
      </c>
      <c r="B12" s="204"/>
      <c r="C12" s="205">
        <v>10</v>
      </c>
      <c r="D12" s="206"/>
    </row>
    <row r="13" spans="1:4" ht="15.75" x14ac:dyDescent="0.25">
      <c r="A13" s="203">
        <v>11</v>
      </c>
      <c r="B13" s="204"/>
      <c r="C13" s="205">
        <v>11</v>
      </c>
      <c r="D13" s="206"/>
    </row>
    <row r="14" spans="1:4" ht="15.75" x14ac:dyDescent="0.25">
      <c r="A14" s="203">
        <v>12</v>
      </c>
      <c r="B14" s="204"/>
      <c r="C14" s="205">
        <v>12</v>
      </c>
      <c r="D14" s="206"/>
    </row>
    <row r="15" spans="1:4" ht="15.75" x14ac:dyDescent="0.25">
      <c r="A15" s="203">
        <v>13</v>
      </c>
      <c r="B15" s="204"/>
      <c r="C15" s="205">
        <v>13</v>
      </c>
      <c r="D15" s="206"/>
    </row>
    <row r="16" spans="1:4" ht="15.75" x14ac:dyDescent="0.25">
      <c r="A16" s="203">
        <v>14</v>
      </c>
      <c r="B16" s="204"/>
      <c r="C16" s="205">
        <v>14</v>
      </c>
      <c r="D16" s="206"/>
    </row>
    <row r="17" spans="1:4" ht="15.75" x14ac:dyDescent="0.25">
      <c r="A17" s="203">
        <v>15</v>
      </c>
      <c r="B17" s="204"/>
      <c r="C17" s="205">
        <v>15</v>
      </c>
      <c r="D17" s="206"/>
    </row>
    <row r="18" spans="1:4" ht="15.75" x14ac:dyDescent="0.25">
      <c r="A18" s="203">
        <v>16</v>
      </c>
      <c r="B18" s="204"/>
      <c r="C18" s="205">
        <v>16</v>
      </c>
      <c r="D18" s="206"/>
    </row>
    <row r="19" spans="1:4" ht="15.75" x14ac:dyDescent="0.25">
      <c r="A19" s="203">
        <v>17</v>
      </c>
      <c r="B19" s="204"/>
      <c r="C19" s="205">
        <v>17</v>
      </c>
      <c r="D19" s="206"/>
    </row>
    <row r="20" spans="1:4" ht="15.75" x14ac:dyDescent="0.25">
      <c r="A20" s="203">
        <v>18</v>
      </c>
      <c r="B20" s="204"/>
      <c r="C20" s="205">
        <v>18</v>
      </c>
      <c r="D20" s="206"/>
    </row>
    <row r="21" spans="1:4" ht="15.75" x14ac:dyDescent="0.25">
      <c r="A21" s="203">
        <v>19</v>
      </c>
      <c r="B21" s="204"/>
      <c r="C21" s="205">
        <v>19</v>
      </c>
      <c r="D21" s="206"/>
    </row>
    <row r="22" spans="1:4" ht="15.75" x14ac:dyDescent="0.25">
      <c r="A22" s="203">
        <v>20</v>
      </c>
      <c r="B22" s="204"/>
      <c r="C22" s="205">
        <v>20</v>
      </c>
      <c r="D22" s="206"/>
    </row>
    <row r="23" spans="1:4" ht="15.75" x14ac:dyDescent="0.25">
      <c r="A23" s="203">
        <v>21</v>
      </c>
      <c r="B23" s="204"/>
      <c r="C23" s="205">
        <v>21</v>
      </c>
      <c r="D23" s="206"/>
    </row>
    <row r="24" spans="1:4" ht="15.75" x14ac:dyDescent="0.25">
      <c r="A24" s="203">
        <v>22</v>
      </c>
      <c r="B24" s="204"/>
      <c r="C24" s="205">
        <v>22</v>
      </c>
      <c r="D24" s="206"/>
    </row>
    <row r="25" spans="1:4" ht="15.75" x14ac:dyDescent="0.25">
      <c r="A25" s="203">
        <v>23</v>
      </c>
      <c r="B25" s="204"/>
      <c r="C25" s="205">
        <v>23</v>
      </c>
      <c r="D25" s="206"/>
    </row>
    <row r="26" spans="1:4" ht="15.75" x14ac:dyDescent="0.25">
      <c r="A26" s="203">
        <v>24</v>
      </c>
      <c r="B26" s="204"/>
      <c r="C26" s="205">
        <v>24</v>
      </c>
      <c r="D26" s="206"/>
    </row>
    <row r="27" spans="1:4" ht="15.75" x14ac:dyDescent="0.25">
      <c r="A27" s="203">
        <v>25</v>
      </c>
      <c r="B27" s="204"/>
      <c r="C27" s="205">
        <v>25</v>
      </c>
      <c r="D27" s="206"/>
    </row>
    <row r="28" spans="1:4" ht="15.75" x14ac:dyDescent="0.25">
      <c r="A28" s="203">
        <v>26</v>
      </c>
      <c r="B28" s="204"/>
      <c r="C28" s="205">
        <v>26</v>
      </c>
      <c r="D28" s="206"/>
    </row>
    <row r="29" spans="1:4" ht="15.75" x14ac:dyDescent="0.25">
      <c r="A29" s="203">
        <v>27</v>
      </c>
      <c r="B29" s="204"/>
      <c r="C29" s="205">
        <v>27</v>
      </c>
      <c r="D29" s="206"/>
    </row>
    <row r="30" spans="1:4" ht="15.75" x14ac:dyDescent="0.25">
      <c r="A30" s="203">
        <v>28</v>
      </c>
      <c r="B30" s="204"/>
      <c r="C30" s="205">
        <v>28</v>
      </c>
      <c r="D30" s="206"/>
    </row>
    <row r="31" spans="1:4" ht="15.75" x14ac:dyDescent="0.25">
      <c r="A31" s="203">
        <v>29</v>
      </c>
      <c r="B31" s="204"/>
      <c r="C31" s="205">
        <v>29</v>
      </c>
      <c r="D31" s="206"/>
    </row>
    <row r="32" spans="1:4" ht="15.75" x14ac:dyDescent="0.25">
      <c r="A32" s="203">
        <v>30</v>
      </c>
      <c r="B32" s="204"/>
      <c r="C32" s="205">
        <v>30</v>
      </c>
      <c r="D32" s="206"/>
    </row>
    <row r="33" spans="1:4" ht="15.75" x14ac:dyDescent="0.25">
      <c r="A33" s="203">
        <v>31</v>
      </c>
      <c r="B33" s="204"/>
      <c r="C33" s="205">
        <v>31</v>
      </c>
      <c r="D33" s="206"/>
    </row>
    <row r="34" spans="1:4" ht="15.75" x14ac:dyDescent="0.25">
      <c r="A34" s="203">
        <v>32</v>
      </c>
      <c r="B34" s="204"/>
      <c r="C34" s="205">
        <v>32</v>
      </c>
      <c r="D34" s="206"/>
    </row>
    <row r="35" spans="1:4" ht="15.75" x14ac:dyDescent="0.25">
      <c r="A35" s="203">
        <v>33</v>
      </c>
      <c r="B35" s="204"/>
      <c r="C35" s="205">
        <v>33</v>
      </c>
      <c r="D35" s="206"/>
    </row>
    <row r="36" spans="1:4" ht="15.75" x14ac:dyDescent="0.25">
      <c r="A36" s="203">
        <v>34</v>
      </c>
      <c r="B36" s="204"/>
      <c r="C36" s="205">
        <v>34</v>
      </c>
      <c r="D36" s="206"/>
    </row>
    <row r="37" spans="1:4" ht="15.75" x14ac:dyDescent="0.25">
      <c r="A37" s="203">
        <v>35</v>
      </c>
      <c r="B37" s="204"/>
      <c r="C37" s="205">
        <v>35</v>
      </c>
      <c r="D37" s="206"/>
    </row>
    <row r="38" spans="1:4" ht="15.75" x14ac:dyDescent="0.25">
      <c r="A38" s="203">
        <v>36</v>
      </c>
      <c r="B38" s="204"/>
      <c r="C38" s="205">
        <v>36</v>
      </c>
      <c r="D38" s="206"/>
    </row>
    <row r="39" spans="1:4" ht="15.75" x14ac:dyDescent="0.25">
      <c r="A39" s="203">
        <v>37</v>
      </c>
      <c r="B39" s="204"/>
      <c r="C39" s="205">
        <v>37</v>
      </c>
      <c r="D39" s="206"/>
    </row>
    <row r="40" spans="1:4" ht="15.75" x14ac:dyDescent="0.25">
      <c r="A40" s="203">
        <v>38</v>
      </c>
      <c r="B40" s="204"/>
      <c r="C40" s="205">
        <v>38</v>
      </c>
      <c r="D40" s="206"/>
    </row>
    <row r="41" spans="1:4" ht="15.75" x14ac:dyDescent="0.25">
      <c r="A41" s="203">
        <v>39</v>
      </c>
      <c r="B41" s="204"/>
      <c r="C41" s="205">
        <v>39</v>
      </c>
      <c r="D41" s="206"/>
    </row>
    <row r="42" spans="1:4" ht="15.75" x14ac:dyDescent="0.25">
      <c r="A42" s="203">
        <v>40</v>
      </c>
      <c r="B42" s="204"/>
      <c r="C42" s="205">
        <v>40</v>
      </c>
      <c r="D42" s="206"/>
    </row>
    <row r="43" spans="1:4" ht="15.75" x14ac:dyDescent="0.25">
      <c r="A43" s="203">
        <v>41</v>
      </c>
      <c r="B43" s="204"/>
      <c r="C43" s="205">
        <v>41</v>
      </c>
      <c r="D43" s="206"/>
    </row>
    <row r="44" spans="1:4" ht="15.75" x14ac:dyDescent="0.25">
      <c r="A44" s="203">
        <v>42</v>
      </c>
      <c r="B44" s="204"/>
      <c r="C44" s="205">
        <v>42</v>
      </c>
      <c r="D44" s="206"/>
    </row>
    <row r="45" spans="1:4" ht="15.75" x14ac:dyDescent="0.25">
      <c r="A45" s="203">
        <v>43</v>
      </c>
      <c r="B45" s="204"/>
      <c r="C45" s="205">
        <v>43</v>
      </c>
      <c r="D45" s="206"/>
    </row>
    <row r="46" spans="1:4" ht="15.75" x14ac:dyDescent="0.25">
      <c r="A46" s="203">
        <v>44</v>
      </c>
      <c r="B46" s="204"/>
      <c r="C46" s="205">
        <v>44</v>
      </c>
      <c r="D46" s="206"/>
    </row>
    <row r="47" spans="1:4" ht="15.75" x14ac:dyDescent="0.25">
      <c r="A47" s="203">
        <v>45</v>
      </c>
      <c r="B47" s="204"/>
      <c r="C47" s="205">
        <v>45</v>
      </c>
      <c r="D47" s="206"/>
    </row>
    <row r="48" spans="1:4" ht="15.75" x14ac:dyDescent="0.25">
      <c r="A48" s="203">
        <v>46</v>
      </c>
      <c r="B48" s="204"/>
      <c r="C48" s="205">
        <v>46</v>
      </c>
      <c r="D48" s="206"/>
    </row>
    <row r="49" spans="1:4" ht="15.75" x14ac:dyDescent="0.25">
      <c r="A49" s="203">
        <v>47</v>
      </c>
      <c r="B49" s="204"/>
      <c r="C49" s="205">
        <v>47</v>
      </c>
      <c r="D49" s="206"/>
    </row>
    <row r="50" spans="1:4" ht="15.75" x14ac:dyDescent="0.25">
      <c r="A50" s="203">
        <v>48</v>
      </c>
      <c r="B50" s="204"/>
      <c r="C50" s="205">
        <v>48</v>
      </c>
      <c r="D50" s="206"/>
    </row>
    <row r="51" spans="1:4" ht="15.75" x14ac:dyDescent="0.25">
      <c r="A51" s="203">
        <v>49</v>
      </c>
      <c r="B51" s="204"/>
      <c r="C51" s="205">
        <v>49</v>
      </c>
      <c r="D51" s="206"/>
    </row>
    <row r="52" spans="1:4" ht="15.75" x14ac:dyDescent="0.25">
      <c r="A52" s="203">
        <v>50</v>
      </c>
      <c r="B52" s="204"/>
      <c r="C52" s="205">
        <v>50</v>
      </c>
      <c r="D52" s="206"/>
    </row>
    <row r="53" spans="1:4" ht="15.75" x14ac:dyDescent="0.25">
      <c r="C53" s="205">
        <v>51</v>
      </c>
      <c r="D53" s="206"/>
    </row>
    <row r="54" spans="1:4" ht="15.75" x14ac:dyDescent="0.25">
      <c r="C54" s="205">
        <v>52</v>
      </c>
      <c r="D54" s="206"/>
    </row>
    <row r="55" spans="1:4" ht="15.75" x14ac:dyDescent="0.25">
      <c r="C55" s="205">
        <v>53</v>
      </c>
      <c r="D55" s="206"/>
    </row>
    <row r="56" spans="1:4" ht="15.75" x14ac:dyDescent="0.25">
      <c r="C56" s="205">
        <v>54</v>
      </c>
      <c r="D56" s="206"/>
    </row>
    <row r="57" spans="1:4" ht="15.75" x14ac:dyDescent="0.25">
      <c r="C57" s="205">
        <v>55</v>
      </c>
      <c r="D57" s="206"/>
    </row>
    <row r="58" spans="1:4" ht="15.75" x14ac:dyDescent="0.25">
      <c r="C58" s="205">
        <v>56</v>
      </c>
      <c r="D58" s="206"/>
    </row>
    <row r="59" spans="1:4" ht="15.75" x14ac:dyDescent="0.25">
      <c r="C59" s="205">
        <v>57</v>
      </c>
      <c r="D59" s="206"/>
    </row>
    <row r="60" spans="1:4" ht="15.75" x14ac:dyDescent="0.25">
      <c r="C60" s="205">
        <v>58</v>
      </c>
      <c r="D60" s="206"/>
    </row>
    <row r="61" spans="1:4" ht="15.75" x14ac:dyDescent="0.25">
      <c r="C61" s="205">
        <v>59</v>
      </c>
      <c r="D61" s="206"/>
    </row>
    <row r="62" spans="1:4" ht="15.75" x14ac:dyDescent="0.25">
      <c r="C62" s="205">
        <v>60</v>
      </c>
      <c r="D62" s="206"/>
    </row>
    <row r="63" spans="1:4" ht="15.75" x14ac:dyDescent="0.25">
      <c r="C63" s="205">
        <v>61</v>
      </c>
      <c r="D63" s="206"/>
    </row>
    <row r="64" spans="1:4" ht="15.75" x14ac:dyDescent="0.25">
      <c r="C64" s="205">
        <v>62</v>
      </c>
      <c r="D64" s="206"/>
    </row>
    <row r="65" spans="3:4" ht="15.75" x14ac:dyDescent="0.25">
      <c r="C65" s="205">
        <v>63</v>
      </c>
      <c r="D65" s="206"/>
    </row>
    <row r="66" spans="3:4" ht="15.75" x14ac:dyDescent="0.25">
      <c r="C66" s="205">
        <v>64</v>
      </c>
      <c r="D66" s="206"/>
    </row>
    <row r="67" spans="3:4" ht="15.75" x14ac:dyDescent="0.25">
      <c r="C67" s="205">
        <v>65</v>
      </c>
      <c r="D67" s="206"/>
    </row>
    <row r="68" spans="3:4" ht="15.75" x14ac:dyDescent="0.25">
      <c r="C68" s="205">
        <v>66</v>
      </c>
      <c r="D68" s="206"/>
    </row>
    <row r="69" spans="3:4" ht="15.75" x14ac:dyDescent="0.25">
      <c r="C69" s="205">
        <v>67</v>
      </c>
      <c r="D69" s="206"/>
    </row>
    <row r="70" spans="3:4" ht="15.75" x14ac:dyDescent="0.25">
      <c r="C70" s="205">
        <v>68</v>
      </c>
      <c r="D70" s="206"/>
    </row>
    <row r="71" spans="3:4" ht="15.75" x14ac:dyDescent="0.25">
      <c r="C71" s="205">
        <v>69</v>
      </c>
      <c r="D71" s="206"/>
    </row>
    <row r="72" spans="3:4" ht="15.75" x14ac:dyDescent="0.25">
      <c r="C72" s="205">
        <v>70</v>
      </c>
      <c r="D72" s="206"/>
    </row>
    <row r="73" spans="3:4" ht="15.75" x14ac:dyDescent="0.25">
      <c r="C73" s="205">
        <v>71</v>
      </c>
      <c r="D73" s="206"/>
    </row>
    <row r="74" spans="3:4" ht="15.75" x14ac:dyDescent="0.25">
      <c r="C74" s="205">
        <v>72</v>
      </c>
      <c r="D74" s="206"/>
    </row>
    <row r="75" spans="3:4" ht="15.75" x14ac:dyDescent="0.25">
      <c r="C75" s="205">
        <v>73</v>
      </c>
      <c r="D75" s="206"/>
    </row>
    <row r="76" spans="3:4" ht="15.75" x14ac:dyDescent="0.25">
      <c r="C76" s="205">
        <v>74</v>
      </c>
      <c r="D76" s="206"/>
    </row>
    <row r="77" spans="3:4" ht="15.75" x14ac:dyDescent="0.25">
      <c r="C77" s="205">
        <v>75</v>
      </c>
      <c r="D77" s="206"/>
    </row>
    <row r="78" spans="3:4" ht="15.75" x14ac:dyDescent="0.25">
      <c r="C78" s="205">
        <v>76</v>
      </c>
      <c r="D78" s="206"/>
    </row>
    <row r="79" spans="3:4" ht="15.75" x14ac:dyDescent="0.25">
      <c r="C79" s="205">
        <v>77</v>
      </c>
      <c r="D79" s="206"/>
    </row>
    <row r="80" spans="3:4" ht="15.75" x14ac:dyDescent="0.25">
      <c r="C80" s="205">
        <v>78</v>
      </c>
      <c r="D80" s="206"/>
    </row>
    <row r="81" spans="3:4" ht="15.75" x14ac:dyDescent="0.25">
      <c r="C81" s="205">
        <v>79</v>
      </c>
      <c r="D81" s="206"/>
    </row>
    <row r="82" spans="3:4" ht="15.75" x14ac:dyDescent="0.25">
      <c r="C82" s="205">
        <v>80</v>
      </c>
      <c r="D82" s="206"/>
    </row>
    <row r="83" spans="3:4" ht="15.75" x14ac:dyDescent="0.25">
      <c r="C83" s="205">
        <v>81</v>
      </c>
      <c r="D83" s="206"/>
    </row>
    <row r="84" spans="3:4" ht="15.75" x14ac:dyDescent="0.25">
      <c r="C84" s="205">
        <v>82</v>
      </c>
      <c r="D84" s="206"/>
    </row>
    <row r="85" spans="3:4" ht="15.75" x14ac:dyDescent="0.25">
      <c r="C85" s="205">
        <v>83</v>
      </c>
      <c r="D85" s="206"/>
    </row>
    <row r="86" spans="3:4" ht="15.75" x14ac:dyDescent="0.25">
      <c r="C86" s="205">
        <v>84</v>
      </c>
      <c r="D86" s="206"/>
    </row>
    <row r="87" spans="3:4" ht="15.75" x14ac:dyDescent="0.25">
      <c r="C87" s="205">
        <v>85</v>
      </c>
      <c r="D87" s="206"/>
    </row>
    <row r="88" spans="3:4" ht="15.75" x14ac:dyDescent="0.25">
      <c r="C88" s="205">
        <v>86</v>
      </c>
      <c r="D88" s="206"/>
    </row>
    <row r="89" spans="3:4" ht="15.75" x14ac:dyDescent="0.25">
      <c r="C89" s="205">
        <v>87</v>
      </c>
      <c r="D89" s="206"/>
    </row>
    <row r="90" spans="3:4" ht="15.75" x14ac:dyDescent="0.25">
      <c r="C90" s="205">
        <v>88</v>
      </c>
      <c r="D90" s="206"/>
    </row>
    <row r="91" spans="3:4" ht="15.75" x14ac:dyDescent="0.25">
      <c r="C91" s="205">
        <v>89</v>
      </c>
      <c r="D91" s="206"/>
    </row>
    <row r="92" spans="3:4" ht="15.75" x14ac:dyDescent="0.25">
      <c r="C92" s="205">
        <v>90</v>
      </c>
      <c r="D92" s="206"/>
    </row>
    <row r="93" spans="3:4" ht="15.75" x14ac:dyDescent="0.25">
      <c r="C93" s="205">
        <v>91</v>
      </c>
      <c r="D93" s="206"/>
    </row>
    <row r="94" spans="3:4" ht="15.75" x14ac:dyDescent="0.25">
      <c r="C94" s="205">
        <v>92</v>
      </c>
      <c r="D94" s="206"/>
    </row>
    <row r="95" spans="3:4" ht="15.75" x14ac:dyDescent="0.25">
      <c r="C95" s="205">
        <v>93</v>
      </c>
      <c r="D95" s="206"/>
    </row>
    <row r="96" spans="3:4" ht="15.75" x14ac:dyDescent="0.25">
      <c r="C96" s="205">
        <v>94</v>
      </c>
      <c r="D96" s="206"/>
    </row>
    <row r="97" spans="3:4" ht="15.75" x14ac:dyDescent="0.25">
      <c r="C97" s="205">
        <v>95</v>
      </c>
      <c r="D97" s="206"/>
    </row>
    <row r="98" spans="3:4" ht="15.75" x14ac:dyDescent="0.25">
      <c r="C98" s="205">
        <v>96</v>
      </c>
      <c r="D98" s="206"/>
    </row>
    <row r="99" spans="3:4" ht="15.75" x14ac:dyDescent="0.25">
      <c r="C99" s="205">
        <v>97</v>
      </c>
      <c r="D99" s="206"/>
    </row>
    <row r="100" spans="3:4" ht="15.75" x14ac:dyDescent="0.25">
      <c r="C100" s="205">
        <v>98</v>
      </c>
      <c r="D100" s="206"/>
    </row>
    <row r="101" spans="3:4" ht="15.75" x14ac:dyDescent="0.25">
      <c r="C101" s="205">
        <v>99</v>
      </c>
      <c r="D101" s="206"/>
    </row>
    <row r="102" spans="3:4" ht="15.75" x14ac:dyDescent="0.25">
      <c r="C102" s="205">
        <v>100</v>
      </c>
      <c r="D102" s="206"/>
    </row>
  </sheetData>
  <mergeCells count="1">
    <mergeCell ref="A1:D1"/>
  </mergeCells>
  <printOptions horizontalCentered="1"/>
  <pageMargins left="0.19685039370078741" right="0.19685039370078741" top="0.19685039370078741" bottom="0.19685039370078741"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8"/>
  <sheetViews>
    <sheetView zoomScaleNormal="100" zoomScaleSheetLayoutView="100" workbookViewId="0">
      <selection activeCell="I25" sqref="I25"/>
    </sheetView>
  </sheetViews>
  <sheetFormatPr defaultRowHeight="15" x14ac:dyDescent="0.2"/>
  <cols>
    <col min="3" max="3" width="25" customWidth="1"/>
    <col min="4" max="4" width="12.77734375" customWidth="1"/>
    <col min="5" max="5" width="10" customWidth="1"/>
    <col min="6" max="6" width="4.5546875" customWidth="1"/>
    <col min="10" max="10" width="7.88671875" customWidth="1"/>
    <col min="11" max="11" width="19.33203125" customWidth="1"/>
  </cols>
  <sheetData>
    <row r="1" spans="1:11" ht="87.75" customHeight="1" x14ac:dyDescent="0.2">
      <c r="A1" s="294"/>
      <c r="B1" s="294"/>
      <c r="C1" s="294"/>
      <c r="D1" s="294"/>
      <c r="E1" s="294"/>
      <c r="F1" s="294"/>
      <c r="G1" s="294"/>
      <c r="H1" s="294"/>
      <c r="I1" s="294"/>
      <c r="J1" s="294"/>
      <c r="K1" s="294"/>
    </row>
    <row r="2" spans="1:11" ht="48" customHeight="1" x14ac:dyDescent="0.2">
      <c r="A2" s="295" t="s">
        <v>152</v>
      </c>
      <c r="B2" s="296"/>
      <c r="C2" s="296"/>
      <c r="D2" s="296"/>
      <c r="E2" s="296"/>
      <c r="F2" s="296"/>
      <c r="G2" s="296"/>
      <c r="H2" s="296"/>
      <c r="I2" s="296"/>
      <c r="J2" s="296"/>
      <c r="K2" s="297"/>
    </row>
    <row r="3" spans="1:11" ht="23.25" customHeight="1" x14ac:dyDescent="0.35">
      <c r="A3" s="298" t="s">
        <v>10</v>
      </c>
      <c r="B3" s="299"/>
      <c r="C3" s="300"/>
      <c r="D3" s="301"/>
      <c r="E3" s="301"/>
      <c r="F3" s="301"/>
      <c r="G3" s="301"/>
      <c r="H3" s="301"/>
      <c r="I3" s="301"/>
      <c r="J3" s="301"/>
      <c r="K3" s="301"/>
    </row>
    <row r="4" spans="1:11" ht="23.25" customHeight="1" x14ac:dyDescent="0.2">
      <c r="A4" s="302" t="s">
        <v>12</v>
      </c>
      <c r="B4" s="302"/>
      <c r="C4" s="302"/>
      <c r="D4" s="304"/>
      <c r="E4" s="305"/>
      <c r="F4" s="305"/>
      <c r="G4" s="305"/>
      <c r="H4" s="305"/>
      <c r="I4" s="305"/>
      <c r="J4" s="305"/>
      <c r="K4" s="305"/>
    </row>
    <row r="5" spans="1:11" ht="23.25" customHeight="1" x14ac:dyDescent="0.2">
      <c r="A5" s="303"/>
      <c r="B5" s="303"/>
      <c r="C5" s="303"/>
      <c r="D5" s="305"/>
      <c r="E5" s="305"/>
      <c r="F5" s="305"/>
      <c r="G5" s="305"/>
      <c r="H5" s="305"/>
      <c r="I5" s="305"/>
      <c r="J5" s="305"/>
      <c r="K5" s="305"/>
    </row>
    <row r="6" spans="1:11" ht="23.25" customHeight="1" x14ac:dyDescent="0.35">
      <c r="A6" s="302" t="s">
        <v>137</v>
      </c>
      <c r="B6" s="302"/>
      <c r="C6" s="302"/>
      <c r="D6" s="306"/>
      <c r="E6" s="306"/>
      <c r="F6" s="306"/>
      <c r="G6" s="306"/>
      <c r="H6" s="306"/>
      <c r="I6" s="306"/>
      <c r="J6" s="306"/>
      <c r="K6" s="306"/>
    </row>
    <row r="7" spans="1:11" ht="23.25" customHeight="1" x14ac:dyDescent="0.35">
      <c r="A7" s="302" t="s">
        <v>347</v>
      </c>
      <c r="B7" s="302"/>
      <c r="C7" s="302"/>
      <c r="D7" s="307"/>
      <c r="E7" s="307"/>
      <c r="F7" s="307"/>
      <c r="G7" s="307"/>
      <c r="H7" s="307"/>
      <c r="I7" s="307"/>
      <c r="J7" s="307"/>
      <c r="K7" s="307"/>
    </row>
    <row r="8" spans="1:11" ht="23.25" customHeight="1" x14ac:dyDescent="0.35">
      <c r="A8" s="302" t="s">
        <v>6</v>
      </c>
      <c r="B8" s="302"/>
      <c r="C8" s="302"/>
      <c r="D8" s="308"/>
      <c r="E8" s="308"/>
      <c r="F8" s="308"/>
      <c r="G8" s="308"/>
      <c r="H8" s="308"/>
      <c r="I8" s="308"/>
      <c r="J8" s="308"/>
      <c r="K8" s="308"/>
    </row>
    <row r="9" spans="1:11" ht="23.25" customHeight="1" x14ac:dyDescent="0.35">
      <c r="A9" s="302" t="s">
        <v>138</v>
      </c>
      <c r="B9" s="302"/>
      <c r="C9" s="302"/>
      <c r="D9" s="310" t="s">
        <v>139</v>
      </c>
      <c r="E9" s="311"/>
      <c r="F9" s="311"/>
      <c r="G9" s="311"/>
      <c r="H9" s="311"/>
      <c r="I9" s="311"/>
      <c r="J9" s="311"/>
      <c r="K9" s="312"/>
    </row>
    <row r="10" spans="1:11" ht="23.25" customHeight="1" x14ac:dyDescent="0.2">
      <c r="A10" s="309"/>
      <c r="B10" s="309"/>
      <c r="C10" s="309"/>
      <c r="D10" s="313" t="s">
        <v>338</v>
      </c>
      <c r="E10" s="313"/>
      <c r="F10" s="313"/>
      <c r="G10" s="314" t="s">
        <v>354</v>
      </c>
      <c r="H10" s="315"/>
      <c r="I10" s="315"/>
      <c r="J10" s="315"/>
      <c r="K10" s="194" t="s">
        <v>357</v>
      </c>
    </row>
    <row r="11" spans="1:11" ht="23.25" customHeight="1" x14ac:dyDescent="0.35">
      <c r="A11" s="302" t="s">
        <v>140</v>
      </c>
      <c r="B11" s="302"/>
      <c r="C11" s="302"/>
      <c r="D11" s="307"/>
      <c r="E11" s="307"/>
      <c r="F11" s="307"/>
      <c r="G11" s="307"/>
      <c r="H11" s="307"/>
      <c r="I11" s="307"/>
      <c r="J11" s="307"/>
      <c r="K11" s="307"/>
    </row>
    <row r="12" spans="1:11" x14ac:dyDescent="0.2">
      <c r="A12" s="103"/>
      <c r="B12" s="103"/>
      <c r="C12" s="103"/>
      <c r="D12" s="103"/>
      <c r="E12" s="103"/>
      <c r="F12" s="103"/>
      <c r="G12" s="103"/>
      <c r="H12" s="103"/>
      <c r="I12" s="103"/>
      <c r="J12" s="103"/>
      <c r="K12" s="103"/>
    </row>
    <row r="13" spans="1:11" ht="12.75" customHeight="1" x14ac:dyDescent="0.2">
      <c r="A13" s="104" t="s">
        <v>141</v>
      </c>
      <c r="B13" s="104"/>
      <c r="C13" s="104"/>
      <c r="D13" s="104"/>
      <c r="E13" s="104"/>
      <c r="F13" s="104"/>
      <c r="G13" s="104"/>
      <c r="H13" s="104"/>
      <c r="I13" s="104"/>
      <c r="J13" s="104"/>
      <c r="K13" s="104"/>
    </row>
    <row r="14" spans="1:11" ht="12.75" customHeight="1" x14ac:dyDescent="0.2">
      <c r="A14" s="318" t="s">
        <v>142</v>
      </c>
      <c r="B14" s="318"/>
      <c r="C14" s="318"/>
      <c r="D14" s="105" t="s">
        <v>143</v>
      </c>
      <c r="E14" s="105" t="s">
        <v>144</v>
      </c>
      <c r="F14" s="103"/>
      <c r="G14" s="319" t="s">
        <v>146</v>
      </c>
      <c r="H14" s="320"/>
      <c r="I14" s="320"/>
      <c r="J14" s="320"/>
      <c r="K14" s="321"/>
    </row>
    <row r="15" spans="1:11" ht="18" x14ac:dyDescent="0.25">
      <c r="A15" s="316" t="s">
        <v>311</v>
      </c>
      <c r="B15" s="316"/>
      <c r="C15" s="316"/>
      <c r="D15" s="106">
        <f>COUNT('Eco Aluminium External Shutters'!C9:C23)</f>
        <v>0</v>
      </c>
      <c r="E15" s="186" t="s">
        <v>145</v>
      </c>
      <c r="F15" s="103"/>
      <c r="G15" s="317" t="s">
        <v>355</v>
      </c>
      <c r="H15" s="317"/>
      <c r="I15" s="317"/>
      <c r="J15" s="317"/>
      <c r="K15" s="317"/>
    </row>
    <row r="16" spans="1:11" ht="18" hidden="1" x14ac:dyDescent="0.25">
      <c r="A16" s="316" t="s">
        <v>159</v>
      </c>
      <c r="B16" s="316"/>
      <c r="C16" s="316"/>
      <c r="D16" s="106">
        <f>COUNT('Aluminium Screen'!C10:C20)</f>
        <v>0</v>
      </c>
      <c r="E16" s="185" t="s">
        <v>147</v>
      </c>
      <c r="F16" s="103"/>
      <c r="G16" s="317" t="s">
        <v>341</v>
      </c>
      <c r="H16" s="317"/>
      <c r="I16" s="317"/>
      <c r="J16" s="317"/>
      <c r="K16" s="317"/>
    </row>
    <row r="18" spans="7:11" x14ac:dyDescent="0.2">
      <c r="G18" s="291" t="s">
        <v>339</v>
      </c>
      <c r="H18" s="292"/>
      <c r="I18" s="292"/>
      <c r="J18" s="293"/>
      <c r="K18" s="207">
        <v>1</v>
      </c>
    </row>
  </sheetData>
  <protectedRanges>
    <protectedRange sqref="D4" name="Range8"/>
    <protectedRange sqref="D11 D3 D5:D7" name="Range5"/>
    <protectedRange sqref="D9" name="Range1"/>
    <protectedRange sqref="D8" name="Range4"/>
    <protectedRange sqref="J15:J16" name="Range6_1"/>
    <protectedRange sqref="J15:J16" name="Range7"/>
  </protectedRanges>
  <mergeCells count="25">
    <mergeCell ref="D11:K11"/>
    <mergeCell ref="D10:F10"/>
    <mergeCell ref="G10:J10"/>
    <mergeCell ref="A16:C16"/>
    <mergeCell ref="G16:K16"/>
    <mergeCell ref="A14:C14"/>
    <mergeCell ref="A15:C15"/>
    <mergeCell ref="G15:K15"/>
    <mergeCell ref="G14:K14"/>
    <mergeCell ref="G18:J18"/>
    <mergeCell ref="A1:K1"/>
    <mergeCell ref="A2:K2"/>
    <mergeCell ref="A3:C3"/>
    <mergeCell ref="D3:K3"/>
    <mergeCell ref="A4:C5"/>
    <mergeCell ref="D4:K5"/>
    <mergeCell ref="A6:C6"/>
    <mergeCell ref="D6:K6"/>
    <mergeCell ref="A7:C7"/>
    <mergeCell ref="D7:K7"/>
    <mergeCell ref="A8:C8"/>
    <mergeCell ref="D8:K8"/>
    <mergeCell ref="A9:C10"/>
    <mergeCell ref="D9:K9"/>
    <mergeCell ref="A11:C11"/>
  </mergeCells>
  <dataValidations count="4">
    <dataValidation type="list" allowBlank="1" showInputMessage="1" showErrorMessage="1" errorTitle="Invalid Entry" error="Invalid Entry" sqref="G16:K16" xr:uid="{00000000-0002-0000-0100-000000000000}">
      <formula1>Pacific_Sales_Coordinator</formula1>
    </dataValidation>
    <dataValidation type="list" errorStyle="information" allowBlank="1" showErrorMessage="1" errorTitle="Alert" error="Warning - Non Default Delivery Address" sqref="D4:K5" xr:uid="{00000000-0002-0000-0100-000001000000}">
      <formula1>Delivery_Address</formula1>
    </dataValidation>
    <dataValidation type="list" errorStyle="information" allowBlank="1" showErrorMessage="1" errorTitle="Alert" error="Warning - Non Default Store Name" sqref="D3:K3" xr:uid="{00000000-0002-0000-0100-000002000000}">
      <formula1>Store_Name</formula1>
    </dataValidation>
    <dataValidation type="list" allowBlank="1" showInputMessage="1" showErrorMessage="1" errorTitle="Invalid Entry" error="Invalid Entry" sqref="G15:K15" xr:uid="{6345F944-CDB6-4D8C-B169-A25BF8C0FD3E}">
      <formula1>"Bailey Fryc, Hana Ormiston, Immogen Botelho, Jessica Frost"</formula1>
    </dataValidation>
  </dataValidations>
  <hyperlinks>
    <hyperlink ref="G10" r:id="rId1" xr:uid="{00000000-0004-0000-0100-000000000000}"/>
  </hyperlinks>
  <printOptions horizontalCentered="1"/>
  <pageMargins left="0.19685039370078741" right="0.19685039370078741" top="0.39370078740157483" bottom="0.39370078740157483" header="0.31496062992125984" footer="0.31496062992125984"/>
  <pageSetup paperSize="9" scale="97"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pageSetUpPr fitToPage="1"/>
  </sheetPr>
  <dimension ref="A1:FZ57"/>
  <sheetViews>
    <sheetView showGridLines="0" tabSelected="1" view="pageBreakPreview" zoomScale="85" zoomScaleNormal="72" zoomScaleSheetLayoutView="85" zoomScalePageLayoutView="85" workbookViewId="0">
      <selection activeCell="N1" sqref="N1:X1"/>
    </sheetView>
  </sheetViews>
  <sheetFormatPr defaultRowHeight="15" x14ac:dyDescent="0.2"/>
  <cols>
    <col min="1" max="1" width="5.33203125" style="7" customWidth="1"/>
    <col min="2" max="2" width="17.109375" style="7" customWidth="1"/>
    <col min="3" max="3" width="14.77734375" style="7" customWidth="1"/>
    <col min="4" max="7" width="13.21875" style="7" customWidth="1"/>
    <col min="8" max="8" width="37.77734375" style="7" customWidth="1"/>
    <col min="9" max="9" width="36" style="7" customWidth="1"/>
    <col min="10" max="10" width="10.77734375" style="7" customWidth="1"/>
    <col min="11" max="11" width="17.33203125" style="7" customWidth="1"/>
    <col min="12" max="12" width="17.44140625" style="7" customWidth="1"/>
    <col min="13" max="13" width="23.88671875" style="7" customWidth="1"/>
    <col min="14" max="14" width="14.88671875" style="7" customWidth="1"/>
    <col min="15" max="15" width="17.88671875" style="7" customWidth="1"/>
    <col min="16" max="17" width="15.44140625" style="7" customWidth="1"/>
    <col min="18" max="18" width="17.5546875" style="7" customWidth="1"/>
    <col min="19" max="19" width="20.21875" style="7" customWidth="1"/>
    <col min="20" max="20" width="10.88671875" style="7" customWidth="1"/>
    <col min="21" max="23" width="6.77734375" style="7" customWidth="1"/>
    <col min="24" max="24" width="14" style="7" customWidth="1"/>
    <col min="25" max="25" width="15.21875" style="7" customWidth="1"/>
    <col min="26" max="26" width="17.77734375" style="7" customWidth="1"/>
    <col min="27" max="27" width="11.6640625" style="7" customWidth="1"/>
    <col min="28" max="28" width="8.88671875" style="19" customWidth="1"/>
    <col min="29" max="31" width="8.88671875" style="19" hidden="1" customWidth="1"/>
    <col min="32" max="32" width="31.109375" style="7" hidden="1" customWidth="1"/>
    <col min="33" max="33" width="29.5546875" style="7" hidden="1" customWidth="1"/>
    <col min="34" max="34" width="20.44140625" style="7" hidden="1" customWidth="1"/>
    <col min="35" max="35" width="33.44140625" style="7" hidden="1" customWidth="1"/>
    <col min="36" max="36" width="28" style="7" hidden="1" customWidth="1"/>
    <col min="37" max="37" width="14.5546875" style="7" hidden="1" customWidth="1"/>
    <col min="38" max="38" width="17.33203125" style="7" hidden="1" customWidth="1"/>
    <col min="39" max="39" width="10.88671875" style="7" hidden="1" customWidth="1"/>
    <col min="40" max="40" width="10.5546875" style="7" hidden="1" customWidth="1"/>
    <col min="41" max="41" width="12.6640625" style="7" hidden="1" customWidth="1"/>
    <col min="42" max="42" width="17.33203125" style="7" hidden="1" customWidth="1"/>
    <col min="43" max="43" width="19.44140625" style="7" hidden="1" customWidth="1"/>
    <col min="44" max="44" width="13.77734375" style="7" hidden="1" customWidth="1"/>
    <col min="45" max="45" width="23.77734375" style="7" hidden="1" customWidth="1"/>
    <col min="46" max="46" width="22.109375" style="7" hidden="1" customWidth="1"/>
    <col min="47" max="47" width="13.5546875" style="7" hidden="1" customWidth="1"/>
    <col min="48" max="49" width="16.5546875" style="19" hidden="1" customWidth="1"/>
    <col min="50" max="51" width="8.88671875" style="19" hidden="1" customWidth="1"/>
    <col min="52" max="52" width="25.5546875" style="19" hidden="1" customWidth="1"/>
    <col min="53" max="53" width="33.109375" style="19" hidden="1" customWidth="1"/>
    <col min="54" max="54" width="26" style="7" hidden="1" customWidth="1"/>
    <col min="55" max="55" width="31.33203125" style="7" hidden="1" customWidth="1"/>
    <col min="56" max="56" width="28.5546875" style="7" hidden="1" customWidth="1"/>
    <col min="57" max="57" width="26" style="7" hidden="1" customWidth="1"/>
    <col min="58" max="58" width="30.88671875" style="7" hidden="1" customWidth="1"/>
    <col min="59" max="59" width="26.109375" style="124" hidden="1" customWidth="1"/>
    <col min="60" max="60" width="8.88671875" style="7" hidden="1" customWidth="1"/>
    <col min="61" max="61" width="16.6640625" style="19" hidden="1" customWidth="1"/>
    <col min="62" max="62" width="29" style="7" hidden="1" customWidth="1"/>
    <col min="63" max="63" width="18" style="19" hidden="1" customWidth="1"/>
    <col min="64" max="64" width="13.21875" style="19" hidden="1" customWidth="1"/>
    <col min="65" max="66" width="8.88671875" style="19" hidden="1" customWidth="1"/>
    <col min="67" max="67" width="13.6640625" style="19" hidden="1" customWidth="1"/>
    <col min="68" max="70" width="8.88671875" style="7" hidden="1" customWidth="1"/>
    <col min="71" max="73" width="8.88671875" style="19" hidden="1" customWidth="1"/>
    <col min="74" max="74" width="16.6640625" style="7" hidden="1" customWidth="1"/>
    <col min="75" max="75" width="18.21875" style="19" hidden="1" customWidth="1"/>
    <col min="76" max="76" width="8.88671875" style="19" hidden="1" customWidth="1"/>
    <col min="77" max="77" width="16.5546875" style="7" hidden="1" customWidth="1"/>
    <col min="78" max="78" width="8.88671875" style="7" hidden="1" customWidth="1"/>
    <col min="79" max="79" width="18.33203125" style="7" hidden="1" customWidth="1"/>
    <col min="80" max="80" width="8.88671875" style="7" hidden="1" customWidth="1"/>
    <col min="81" max="81" width="31.6640625" style="7" hidden="1" customWidth="1"/>
    <col min="82" max="82" width="31" style="7" hidden="1" customWidth="1"/>
    <col min="83" max="83" width="32.77734375" style="7" hidden="1" customWidth="1"/>
    <col min="84" max="86" width="8.88671875" style="7" hidden="1" customWidth="1"/>
    <col min="87" max="88" width="34.21875" style="7" hidden="1" customWidth="1"/>
    <col min="89" max="89" width="24.33203125" style="7" hidden="1" customWidth="1"/>
    <col min="90" max="90" width="19.77734375" style="7" hidden="1" customWidth="1"/>
    <col min="91" max="91" width="8.88671875" style="7" hidden="1" customWidth="1"/>
    <col min="92" max="92" width="23.77734375" style="7" hidden="1" customWidth="1"/>
    <col min="93" max="94" width="29.77734375" style="7" hidden="1" customWidth="1"/>
    <col min="95" max="95" width="8.88671875" style="7" hidden="1" customWidth="1"/>
    <col min="96" max="96" width="13.21875" style="7" hidden="1" customWidth="1"/>
    <col min="97" max="97" width="16.44140625" style="7" hidden="1" customWidth="1"/>
    <col min="98" max="98" width="30.44140625" style="7" hidden="1" customWidth="1"/>
    <col min="99" max="99" width="18.33203125" style="7" hidden="1" customWidth="1"/>
    <col min="100" max="100" width="12.77734375" style="7" hidden="1" customWidth="1"/>
    <col min="101" max="102" width="20.88671875" style="7" hidden="1" customWidth="1"/>
    <col min="103" max="106" width="23.77734375" style="7" hidden="1" customWidth="1"/>
    <col min="107" max="107" width="23.6640625" style="7" hidden="1" customWidth="1"/>
    <col min="108" max="108" width="10.77734375" style="7" hidden="1" customWidth="1"/>
    <col min="109" max="110" width="12.5546875" style="7" hidden="1" customWidth="1"/>
    <col min="111" max="111" width="16.33203125" style="7" hidden="1" customWidth="1"/>
    <col min="112" max="112" width="20.44140625" style="7" hidden="1" customWidth="1"/>
    <col min="113" max="116" width="20" style="7" hidden="1" customWidth="1"/>
    <col min="117" max="117" width="15.109375" style="7" hidden="1" customWidth="1"/>
    <col min="118" max="118" width="8.88671875" style="7" hidden="1" customWidth="1"/>
    <col min="119" max="119" width="15.77734375" style="7" hidden="1" customWidth="1"/>
    <col min="120" max="120" width="21.109375" style="7" hidden="1" customWidth="1"/>
    <col min="121" max="121" width="18.6640625" style="7" hidden="1" customWidth="1"/>
    <col min="122" max="122" width="8.88671875" style="7" hidden="1" customWidth="1"/>
    <col min="123" max="123" width="19.33203125" style="7" hidden="1" customWidth="1"/>
    <col min="124" max="124" width="12.77734375" style="7" hidden="1" customWidth="1"/>
    <col min="125" max="125" width="14.44140625" style="7" hidden="1" customWidth="1"/>
    <col min="126" max="126" width="17.5546875" style="7" hidden="1" customWidth="1"/>
    <col min="127" max="128" width="17.6640625" style="7" hidden="1" customWidth="1"/>
    <col min="129" max="129" width="8.88671875" style="7" hidden="1" customWidth="1"/>
    <col min="130" max="130" width="28" style="7" hidden="1" customWidth="1"/>
    <col min="131" max="131" width="24.88671875" style="7" hidden="1" customWidth="1"/>
    <col min="132" max="137" width="8.88671875" style="7" hidden="1" customWidth="1"/>
    <col min="138" max="138" width="10.44140625" style="7" hidden="1" customWidth="1"/>
    <col min="139" max="139" width="34" style="7" hidden="1" customWidth="1"/>
    <col min="140" max="141" width="8.88671875" style="7" hidden="1" customWidth="1"/>
    <col min="142" max="142" width="38.77734375" style="7" hidden="1" customWidth="1"/>
    <col min="143" max="145" width="21.21875" style="7" hidden="1" customWidth="1"/>
    <col min="146" max="146" width="8.88671875" style="7" hidden="1" customWidth="1"/>
    <col min="147" max="147" width="13.88671875" style="7" hidden="1" customWidth="1"/>
    <col min="148" max="151" width="8.88671875" style="7" hidden="1" customWidth="1"/>
    <col min="152" max="159" width="29.88671875" style="7" hidden="1" customWidth="1"/>
    <col min="160" max="182" width="8.88671875" style="7" hidden="1" customWidth="1"/>
    <col min="183" max="16384" width="8.88671875" style="7"/>
  </cols>
  <sheetData>
    <row r="1" spans="1:159" ht="37.5" customHeight="1" x14ac:dyDescent="0.2">
      <c r="A1" s="155"/>
      <c r="B1" s="156"/>
      <c r="C1" s="156"/>
      <c r="D1" s="157"/>
      <c r="E1" s="158"/>
      <c r="F1" s="158"/>
      <c r="G1" s="333" t="s">
        <v>449</v>
      </c>
      <c r="H1" s="333"/>
      <c r="I1" s="334"/>
      <c r="J1" s="151"/>
      <c r="K1" s="150"/>
      <c r="L1" s="330" t="s">
        <v>10</v>
      </c>
      <c r="M1" s="331"/>
      <c r="N1" s="375"/>
      <c r="O1" s="376"/>
      <c r="P1" s="376"/>
      <c r="Q1" s="376"/>
      <c r="R1" s="376"/>
      <c r="S1" s="376"/>
      <c r="T1" s="376"/>
      <c r="U1" s="376"/>
      <c r="V1" s="376"/>
      <c r="W1" s="376"/>
      <c r="X1" s="377"/>
      <c r="Y1" s="170"/>
      <c r="Z1" s="237" t="s">
        <v>309</v>
      </c>
      <c r="AA1" s="144" t="s">
        <v>21</v>
      </c>
    </row>
    <row r="2" spans="1:159" ht="24.75" customHeight="1" x14ac:dyDescent="0.2">
      <c r="A2" s="159"/>
      <c r="B2" s="4"/>
      <c r="C2" s="4"/>
      <c r="D2" s="9"/>
      <c r="E2"/>
      <c r="F2" s="9"/>
      <c r="G2" s="335"/>
      <c r="H2" s="335"/>
      <c r="I2" s="336"/>
      <c r="J2" s="152"/>
      <c r="K2" s="208"/>
      <c r="L2" s="342" t="s">
        <v>5</v>
      </c>
      <c r="M2" s="343"/>
      <c r="N2" s="378"/>
      <c r="O2" s="379"/>
      <c r="P2" s="379"/>
      <c r="Q2" s="379"/>
      <c r="R2" s="379"/>
      <c r="S2" s="379"/>
      <c r="T2" s="379"/>
      <c r="U2" s="379"/>
      <c r="V2" s="379"/>
      <c r="W2" s="379"/>
      <c r="X2" s="380"/>
      <c r="Y2" s="227"/>
      <c r="Z2" s="10"/>
    </row>
    <row r="3" spans="1:159" ht="23.25" customHeight="1" x14ac:dyDescent="0.2">
      <c r="A3" s="160"/>
      <c r="B3" s="5"/>
      <c r="C3" s="6"/>
      <c r="D3" s="9"/>
      <c r="E3" s="9"/>
      <c r="F3" s="9"/>
      <c r="G3" s="337"/>
      <c r="H3" s="337"/>
      <c r="I3" s="338"/>
      <c r="J3" s="153"/>
      <c r="K3" s="150"/>
      <c r="L3" s="330" t="s">
        <v>12</v>
      </c>
      <c r="M3" s="331"/>
      <c r="N3" s="381"/>
      <c r="O3" s="382"/>
      <c r="P3" s="382"/>
      <c r="Q3" s="382"/>
      <c r="R3" s="382"/>
      <c r="S3" s="382"/>
      <c r="T3" s="382"/>
      <c r="U3" s="382"/>
      <c r="V3" s="382"/>
      <c r="W3" s="382"/>
      <c r="X3" s="383"/>
      <c r="Y3" s="228"/>
      <c r="Z3" s="230" t="s">
        <v>11</v>
      </c>
      <c r="AA3" s="169">
        <f>SUM(AA9:AA23)</f>
        <v>0</v>
      </c>
      <c r="AE3" s="195"/>
    </row>
    <row r="4" spans="1:159" ht="23.25" customHeight="1" x14ac:dyDescent="0.2">
      <c r="A4" s="332" t="s">
        <v>150</v>
      </c>
      <c r="B4" s="332"/>
      <c r="C4" s="347"/>
      <c r="D4" s="348"/>
      <c r="E4" s="348"/>
      <c r="F4" s="348"/>
      <c r="G4" s="348"/>
      <c r="H4" s="348"/>
      <c r="I4" s="349"/>
      <c r="J4" s="152"/>
      <c r="K4" s="208"/>
      <c r="L4" s="342" t="s">
        <v>348</v>
      </c>
      <c r="M4" s="343"/>
      <c r="N4" s="378"/>
      <c r="O4" s="379"/>
      <c r="P4" s="379"/>
      <c r="Q4" s="379"/>
      <c r="R4" s="379"/>
      <c r="S4" s="379"/>
      <c r="T4" s="379"/>
      <c r="U4" s="379"/>
      <c r="V4" s="379"/>
      <c r="W4" s="379"/>
      <c r="X4" s="380"/>
      <c r="Y4" s="229"/>
      <c r="Z4" s="231" t="s">
        <v>153</v>
      </c>
      <c r="AA4" s="183">
        <f>SUM(F9:F23)</f>
        <v>0</v>
      </c>
      <c r="AE4" s="196"/>
    </row>
    <row r="5" spans="1:159" ht="23.25" customHeight="1" x14ac:dyDescent="0.2">
      <c r="A5" s="161" t="s">
        <v>356</v>
      </c>
      <c r="B5" s="162"/>
      <c r="C5" s="163"/>
      <c r="D5" s="164"/>
      <c r="E5" s="165"/>
      <c r="F5" s="164"/>
      <c r="G5" s="166"/>
      <c r="H5" s="166"/>
      <c r="I5" s="167"/>
      <c r="J5" s="154"/>
      <c r="K5" s="208"/>
      <c r="L5" s="342" t="s">
        <v>6</v>
      </c>
      <c r="M5" s="343"/>
      <c r="N5" s="384"/>
      <c r="O5" s="385"/>
      <c r="P5" s="385"/>
      <c r="Q5" s="385"/>
      <c r="R5" s="385"/>
      <c r="S5" s="385"/>
      <c r="T5" s="385"/>
      <c r="U5" s="385"/>
      <c r="V5" s="385"/>
      <c r="W5" s="385"/>
      <c r="X5" s="386"/>
      <c r="Y5" s="227"/>
      <c r="Z5" s="10"/>
      <c r="AI5" s="7" t="s">
        <v>545</v>
      </c>
    </row>
    <row r="6" spans="1:159" x14ac:dyDescent="0.2">
      <c r="A6" s="350" t="s">
        <v>313</v>
      </c>
      <c r="B6" s="351"/>
      <c r="C6" s="351"/>
      <c r="D6" s="351"/>
      <c r="E6" s="351"/>
      <c r="F6" s="351"/>
      <c r="G6" s="351"/>
      <c r="H6" s="351"/>
      <c r="I6" s="351"/>
      <c r="J6" s="233" t="s">
        <v>339</v>
      </c>
      <c r="K6" s="235"/>
      <c r="L6" s="236"/>
      <c r="AA6" s="168"/>
      <c r="AK6" s="7" t="s">
        <v>26</v>
      </c>
      <c r="AL6" s="7" t="s">
        <v>458</v>
      </c>
      <c r="DZ6" s="7" t="s">
        <v>502</v>
      </c>
    </row>
    <row r="7" spans="1:159" ht="15.75" thickBot="1" x14ac:dyDescent="0.25">
      <c r="A7" s="177"/>
      <c r="B7" s="344" t="s">
        <v>156</v>
      </c>
      <c r="C7" s="344"/>
      <c r="D7" s="344"/>
      <c r="E7" s="344"/>
      <c r="F7" s="344"/>
      <c r="G7" s="344"/>
      <c r="H7" s="344"/>
      <c r="I7" s="344"/>
      <c r="J7" s="234" t="s">
        <v>551</v>
      </c>
      <c r="K7" s="178" t="s">
        <v>312</v>
      </c>
      <c r="L7" s="356" t="s">
        <v>310</v>
      </c>
      <c r="M7" s="356"/>
      <c r="N7" s="356"/>
      <c r="O7" s="356"/>
      <c r="P7" s="356"/>
      <c r="Q7" s="356"/>
      <c r="R7" s="356"/>
      <c r="S7" s="356"/>
      <c r="T7" s="356"/>
      <c r="U7" s="356"/>
      <c r="V7" s="356"/>
      <c r="W7" s="357"/>
      <c r="X7" s="178" t="s">
        <v>312</v>
      </c>
      <c r="AI7" s="7" t="s">
        <v>24</v>
      </c>
      <c r="AK7" s="7" t="s">
        <v>30</v>
      </c>
      <c r="AL7" s="7" t="s">
        <v>26</v>
      </c>
      <c r="AP7" s="7" t="s">
        <v>450</v>
      </c>
      <c r="BD7" s="7" t="s">
        <v>518</v>
      </c>
      <c r="BV7" s="132" t="s">
        <v>333</v>
      </c>
      <c r="DZ7" s="7" t="s">
        <v>501</v>
      </c>
    </row>
    <row r="8" spans="1:159" ht="46.9" customHeight="1" thickTop="1" thickBot="1" x14ac:dyDescent="0.25">
      <c r="A8" s="213" t="s">
        <v>3</v>
      </c>
      <c r="B8" s="214" t="s">
        <v>337</v>
      </c>
      <c r="C8" s="214" t="s">
        <v>14</v>
      </c>
      <c r="D8" s="214" t="s">
        <v>15</v>
      </c>
      <c r="E8" s="214" t="s">
        <v>151</v>
      </c>
      <c r="F8" s="214" t="s">
        <v>155</v>
      </c>
      <c r="G8" s="214" t="s">
        <v>1</v>
      </c>
      <c r="H8" s="214" t="s">
        <v>314</v>
      </c>
      <c r="I8" s="215" t="s">
        <v>7</v>
      </c>
      <c r="J8" s="232" t="s">
        <v>8</v>
      </c>
      <c r="K8" s="217" t="s">
        <v>353</v>
      </c>
      <c r="L8" s="217" t="s">
        <v>13</v>
      </c>
      <c r="M8" s="218" t="s">
        <v>2</v>
      </c>
      <c r="N8" s="218" t="s">
        <v>4</v>
      </c>
      <c r="O8" s="218" t="s">
        <v>9</v>
      </c>
      <c r="P8" s="218" t="s">
        <v>460</v>
      </c>
      <c r="Q8" s="218" t="s">
        <v>461</v>
      </c>
      <c r="R8" s="218" t="s">
        <v>462</v>
      </c>
      <c r="S8" s="218" t="s">
        <v>463</v>
      </c>
      <c r="T8" s="218" t="s">
        <v>157</v>
      </c>
      <c r="U8" s="218" t="s">
        <v>16</v>
      </c>
      <c r="V8" s="218" t="s">
        <v>17</v>
      </c>
      <c r="W8" s="218" t="s">
        <v>18</v>
      </c>
      <c r="X8" s="216" t="s">
        <v>378</v>
      </c>
      <c r="Y8" s="216" t="s">
        <v>373</v>
      </c>
      <c r="Z8" s="216" t="s">
        <v>374</v>
      </c>
      <c r="AA8" s="219" t="s">
        <v>0</v>
      </c>
      <c r="AB8" s="197"/>
      <c r="AC8" s="197"/>
      <c r="AD8" s="197"/>
      <c r="AE8" s="197"/>
      <c r="AF8" s="7" t="s">
        <v>550</v>
      </c>
      <c r="AG8" s="7" t="s">
        <v>549</v>
      </c>
      <c r="AH8" s="7" t="s">
        <v>528</v>
      </c>
      <c r="AI8" s="7" t="s">
        <v>527</v>
      </c>
      <c r="AJ8" s="7" t="s">
        <v>526</v>
      </c>
      <c r="AK8" s="7" t="s">
        <v>457</v>
      </c>
      <c r="AL8" s="7" t="s">
        <v>456</v>
      </c>
      <c r="AM8" s="7" t="s">
        <v>452</v>
      </c>
      <c r="AN8" s="7" t="s">
        <v>453</v>
      </c>
      <c r="AO8" s="7" t="s">
        <v>358</v>
      </c>
      <c r="AP8" s="7" t="str">
        <f>$AN$8</f>
        <v>FlushBoltNA</v>
      </c>
      <c r="AQ8" s="7" t="s">
        <v>30</v>
      </c>
      <c r="AR8" s="7" t="s">
        <v>454</v>
      </c>
      <c r="AS8" s="7" t="s">
        <v>455</v>
      </c>
      <c r="AT8" s="7" t="s">
        <v>374</v>
      </c>
      <c r="AU8" s="7" t="s">
        <v>324</v>
      </c>
      <c r="AV8" s="108"/>
      <c r="AW8" s="108"/>
      <c r="AX8" s="108"/>
      <c r="AY8" s="108"/>
      <c r="AZ8" s="108" t="s">
        <v>242</v>
      </c>
      <c r="BA8" s="108" t="s">
        <v>4</v>
      </c>
      <c r="BB8" s="123" t="s">
        <v>254</v>
      </c>
      <c r="BC8" s="123" t="s">
        <v>255</v>
      </c>
      <c r="BD8" s="123" t="s">
        <v>256</v>
      </c>
      <c r="BE8" s="128" t="s">
        <v>262</v>
      </c>
      <c r="BF8" s="129" t="s">
        <v>259</v>
      </c>
      <c r="BG8" s="125" t="s">
        <v>260</v>
      </c>
      <c r="BH8" s="125" t="s">
        <v>261</v>
      </c>
      <c r="BI8" s="190" t="s">
        <v>269</v>
      </c>
      <c r="BJ8" s="190" t="s">
        <v>270</v>
      </c>
      <c r="BK8" s="191" t="s">
        <v>317</v>
      </c>
      <c r="BL8" s="190" t="s">
        <v>318</v>
      </c>
      <c r="BM8" s="190" t="s">
        <v>332</v>
      </c>
      <c r="BN8" s="190" t="s">
        <v>103</v>
      </c>
      <c r="BO8" s="187" t="s">
        <v>325</v>
      </c>
      <c r="BP8" s="192" t="s">
        <v>326</v>
      </c>
      <c r="BQ8" s="192" t="s">
        <v>327</v>
      </c>
      <c r="BR8" s="192" t="s">
        <v>328</v>
      </c>
      <c r="BS8" s="193" t="s">
        <v>329</v>
      </c>
      <c r="BT8" s="193" t="s">
        <v>330</v>
      </c>
      <c r="BU8" s="193" t="s">
        <v>331</v>
      </c>
      <c r="BV8" s="191" t="s">
        <v>334</v>
      </c>
      <c r="BW8" s="189" t="s">
        <v>335</v>
      </c>
      <c r="BX8" s="189" t="s">
        <v>336</v>
      </c>
      <c r="BY8" s="189" t="s">
        <v>340</v>
      </c>
      <c r="BZ8" s="7" t="s">
        <v>399</v>
      </c>
      <c r="CA8" s="7" t="s">
        <v>367</v>
      </c>
      <c r="CC8" s="7" t="s">
        <v>24</v>
      </c>
      <c r="CD8" s="7" t="s">
        <v>23</v>
      </c>
      <c r="CE8" s="7" t="s">
        <v>25</v>
      </c>
      <c r="CK8" s="7" t="s">
        <v>364</v>
      </c>
      <c r="CL8" s="7" t="s">
        <v>540</v>
      </c>
      <c r="CM8" s="209"/>
      <c r="CN8" s="209" t="s">
        <v>297</v>
      </c>
      <c r="CO8" s="209" t="s">
        <v>365</v>
      </c>
      <c r="CP8" s="209" t="s">
        <v>366</v>
      </c>
      <c r="CR8" s="7" t="s">
        <v>370</v>
      </c>
      <c r="CS8" s="7" t="s">
        <v>371</v>
      </c>
      <c r="CT8" s="7" t="s">
        <v>372</v>
      </c>
      <c r="CV8" s="7" t="s">
        <v>379</v>
      </c>
      <c r="CW8" s="7" t="s">
        <v>397</v>
      </c>
      <c r="CX8" s="7" t="s">
        <v>398</v>
      </c>
      <c r="CY8" s="7" t="s">
        <v>381</v>
      </c>
      <c r="CZ8" s="7" t="s">
        <v>382</v>
      </c>
      <c r="DA8" s="7" t="s">
        <v>380</v>
      </c>
      <c r="DB8" s="7" t="s">
        <v>384</v>
      </c>
      <c r="DC8" s="7" t="s">
        <v>388</v>
      </c>
      <c r="DD8" s="7" t="s">
        <v>389</v>
      </c>
      <c r="DE8" s="7" t="s">
        <v>390</v>
      </c>
      <c r="DF8" s="7" t="s">
        <v>391</v>
      </c>
      <c r="DG8" s="7" t="s">
        <v>392</v>
      </c>
      <c r="DH8" s="7" t="s">
        <v>396</v>
      </c>
      <c r="DJ8" s="7" t="s">
        <v>408</v>
      </c>
      <c r="DK8" s="7" t="s">
        <v>410</v>
      </c>
      <c r="DL8" s="7" t="s">
        <v>411</v>
      </c>
      <c r="DM8" s="7" t="s">
        <v>400</v>
      </c>
      <c r="DO8" s="7" t="s">
        <v>402</v>
      </c>
      <c r="DP8" s="7" t="s">
        <v>405</v>
      </c>
      <c r="DQ8" s="7" t="s">
        <v>403</v>
      </c>
      <c r="DR8" s="7" t="s">
        <v>404</v>
      </c>
      <c r="DS8" s="7" t="s">
        <v>407</v>
      </c>
      <c r="DT8" s="7" t="s">
        <v>409</v>
      </c>
      <c r="DU8" s="7" t="s">
        <v>412</v>
      </c>
      <c r="DV8" s="7" t="s">
        <v>413</v>
      </c>
      <c r="DW8" s="7" t="s">
        <v>414</v>
      </c>
      <c r="DX8" s="7" t="s">
        <v>415</v>
      </c>
      <c r="DY8" s="7" t="s">
        <v>322</v>
      </c>
      <c r="DZ8" s="7" t="s">
        <v>7</v>
      </c>
      <c r="EA8" s="7" t="s">
        <v>503</v>
      </c>
      <c r="EB8" s="7" t="s">
        <v>514</v>
      </c>
      <c r="EH8" s="7" t="s">
        <v>524</v>
      </c>
      <c r="EI8" s="7" t="s">
        <v>523</v>
      </c>
      <c r="EN8" s="7" t="s">
        <v>530</v>
      </c>
      <c r="EO8" s="7" t="s">
        <v>533</v>
      </c>
      <c r="EQ8" s="7" t="s">
        <v>540</v>
      </c>
      <c r="ER8" s="7" t="s">
        <v>541</v>
      </c>
      <c r="EV8" s="209"/>
      <c r="EW8" s="209" t="s">
        <v>547</v>
      </c>
      <c r="EX8" s="209" t="s">
        <v>545</v>
      </c>
      <c r="EY8" s="209" t="s">
        <v>546</v>
      </c>
      <c r="FA8" s="7" t="s">
        <v>370</v>
      </c>
      <c r="FB8" s="7" t="s">
        <v>548</v>
      </c>
      <c r="FC8" s="7" t="s">
        <v>372</v>
      </c>
    </row>
    <row r="9" spans="1:159" ht="26.25" customHeight="1" thickTop="1" x14ac:dyDescent="0.2">
      <c r="A9" s="13">
        <v>1</v>
      </c>
      <c r="B9" s="240"/>
      <c r="C9" s="241"/>
      <c r="D9" s="240"/>
      <c r="E9" s="241"/>
      <c r="F9" s="242"/>
      <c r="G9" s="242"/>
      <c r="H9" s="241"/>
      <c r="I9" s="243"/>
      <c r="J9" s="244"/>
      <c r="K9" s="289"/>
      <c r="L9" s="246"/>
      <c r="M9" s="245"/>
      <c r="N9" s="247"/>
      <c r="O9" s="247"/>
      <c r="P9" s="248"/>
      <c r="Q9" s="248"/>
      <c r="R9" s="249"/>
      <c r="S9" s="249"/>
      <c r="T9" s="249"/>
      <c r="U9" s="242"/>
      <c r="V9" s="242"/>
      <c r="W9" s="242"/>
      <c r="X9" s="250"/>
      <c r="Y9" s="250"/>
      <c r="Z9" s="251"/>
      <c r="AA9" s="252" t="str">
        <f t="shared" ref="AA9:AA16" si="0">IF(SUM(D9)=0,"",IF(E9="MS",SUM(((C9*D9)/1000000)*F9),SUM(((C9*D9)/1000000))))</f>
        <v/>
      </c>
      <c r="AE9" s="198"/>
      <c r="AF9" s="7" t="s">
        <v>502</v>
      </c>
      <c r="AG9" s="7" t="s">
        <v>502</v>
      </c>
      <c r="AH9" s="7" t="str">
        <f>IF(E9=$AI$7,$AI$8,$AJ$8)</f>
        <v>AluminiumProductInOut</v>
      </c>
      <c r="AI9" s="7" t="s">
        <v>502</v>
      </c>
      <c r="AJ9" s="7" t="s">
        <v>502</v>
      </c>
      <c r="AK9" s="7" t="e">
        <f>IF(Y9=$AK$7,$AL$6,IF(Y9=$AK$6,$AN$8,AT9))</f>
        <v>#N/A</v>
      </c>
      <c r="AL9" s="7" t="e">
        <f t="shared" ref="AL9:AL23" si="1">VLOOKUP(L9,$AO$8:$AP$14,2,FALSE)</f>
        <v>#N/A</v>
      </c>
      <c r="AM9" s="7" t="s">
        <v>30</v>
      </c>
      <c r="AN9" s="7" t="s">
        <v>26</v>
      </c>
      <c r="AO9" s="7" t="s">
        <v>44</v>
      </c>
      <c r="AP9" s="7" t="str">
        <f>$AN$8</f>
        <v>FlushBoltNA</v>
      </c>
      <c r="AQ9" s="7" t="s">
        <v>30</v>
      </c>
      <c r="AR9" s="7" t="s">
        <v>158</v>
      </c>
      <c r="AS9" s="7" t="s">
        <v>158</v>
      </c>
      <c r="AT9" s="7" t="e">
        <f t="shared" ref="AT9:AT23" si="2">VLOOKUP(L9,$AO$8:$AQ$14,3,FALSE)</f>
        <v>#N/A</v>
      </c>
      <c r="AU9" s="7" t="b">
        <f>IF(L9=Data!$CD$1,Data!$CF$1, IF(L9=Data!$CD$2,Data!$CG$1,IF(L9=Data!$CD$3,Data!$CH$1,IF(L9=Data!$CD$4,Data!$CI$1,IF(L9=Data!$CD$5,Data!$CJ$1)))))</f>
        <v>0</v>
      </c>
      <c r="AV9" s="121" t="b">
        <f>IF(E9=Data!$E$1,Data!$A$1,IF('Eco Aluminium External Shutters'!E9=Data!$E$2,Data!$B$1,IF('Eco Aluminium External Shutters'!E9=Data!$E$3,Data!$C$1)))</f>
        <v>0</v>
      </c>
      <c r="AW9" s="121" t="b">
        <f>IF(E9=Data!$E$1,Data!$G$1, IF(E9=Data!$E$2,Data!$H$1, IF(E9=Data!$E$3,Data!$I$1)))</f>
        <v>0</v>
      </c>
      <c r="AX9" s="121" t="b">
        <f>IF(E9=Data!$E$1,Data!$K$1,IF(E9=Data!$E$2,Data!$L$1, IF(E9=Data!$E$3,Data!$M$1)))</f>
        <v>0</v>
      </c>
      <c r="AY9" s="121" t="b">
        <f>IF(E9=Data!$E$1,Data!$O$1, IF(E9=Data!$E$2,Data!$P$1, IF(E9=Data!$E$3,Data!$Q$1)))</f>
        <v>0</v>
      </c>
      <c r="AZ9" s="121" t="b">
        <f>IF(L9=Data!$AJ$2,Data!$AK$1,IF(L9=Data!$AJ$3,Data!$AL$1,IF(L9=Data!$AJ$4,Data!$AM$1,IF(L9=Data!$AJ$5,Data!$AN$1,IF(L9=Data!$AJ$6,Data!$AO$1, IF(L9=Data!$AJ$7,Data!$AP$1,IF(L9=Data!$AJ$8,Data!$AQ$1)))))))</f>
        <v>0</v>
      </c>
      <c r="BA9" s="121" t="b">
        <f>IF(L9=Data!$BO$1,Data!$BP$1, IF(L9=Data!$BO$2,Data!$BQ$1, IF(L9=Data!$BO$3,Data!$BR$1, IF(L9=Data!$BO$4,Data!$BS$1, IF(L9=Data!$BO$5,Data!$BT$1)))))</f>
        <v>0</v>
      </c>
      <c r="BB9" s="122">
        <f t="shared" ref="BB9:BB16" si="3">LEN(M9)</f>
        <v>0</v>
      </c>
      <c r="BC9" s="122" t="e">
        <f>VLOOKUP(M9,Data!$AY$2:$AZ$120,2,FALSE)</f>
        <v>#N/A</v>
      </c>
      <c r="BD9" s="122" t="e">
        <f t="shared" ref="BD9:BD16" si="4">IF(F9&lt;&gt;BC9,"Failed","Passed")</f>
        <v>#N/A</v>
      </c>
      <c r="BE9" s="130" t="str">
        <f>IF(OR(AND(P9="",O9&lt;&gt;"")),VLOOKUP(O9,Data!$BC$2:$BD$6,2,FALSE),"")</f>
        <v/>
      </c>
      <c r="BF9" s="130" t="str">
        <f>IF(OR(AND(Q9="",O9&lt;&gt;"")),VLOOKUP(O9,Data!$BC$2:$BD$6,2,FALSE),"")</f>
        <v/>
      </c>
      <c r="BG9" s="130" t="str">
        <f>IF(OR(AND(R9="",O9&lt;&gt;"")),VLOOKUP(O9,Data!$BC$2:$BD$6,2,FALSE),"")</f>
        <v/>
      </c>
      <c r="BH9" s="130" t="str">
        <f>IF(OR(AND(S9="",O9&lt;&gt;"")),VLOOKUP(O9,Data!$BC$2:$BD$6,2,FALSE),"")</f>
        <v/>
      </c>
      <c r="BI9" s="132" t="b">
        <f>IF(L9=Data!$BF$2,Data!$BG$1, IF(L9=Data!$BF$3,Data!$BH$1, IF(L9=Data!$BF$4,Data!$BI$1, IF(L9=Data!$BF$5,Data!$BJ$1, IF(L9=Data!$BF$6,Data!$BK$1)))))</f>
        <v>0</v>
      </c>
      <c r="BJ9" s="132" t="str">
        <f>IF(OR(AND(D9&lt;830, Y9=Data!$BM$1)),"Yes","No")</f>
        <v>No</v>
      </c>
      <c r="BK9" s="132" t="e">
        <f>VLOOKUP(L9,Data!$BZ$1:$CA$5,2,FALSE)</f>
        <v>#N/A</v>
      </c>
      <c r="BL9" s="132" t="e">
        <f t="shared" ref="BL9:BL16" si="5">IF(E9="MS",C9,(C9/F9))</f>
        <v>#DIV/0!</v>
      </c>
      <c r="BM9" s="132" t="e">
        <f>BK9-BL9</f>
        <v>#N/A</v>
      </c>
      <c r="BN9" s="132" t="e">
        <f>IF(BM9&lt;0, "Oversize", "OK")</f>
        <v>#N/A</v>
      </c>
      <c r="BO9" s="188" t="str">
        <f>IF(SUM(--ISNUMBER( SEARCH({"t","T"},M9))),"Yes","No")</f>
        <v>No</v>
      </c>
      <c r="BP9" s="188" t="e">
        <f>VLOOKUP(T9,Data!$CL$2:$CO$9,2,FALSE)</f>
        <v>#N/A</v>
      </c>
      <c r="BQ9" s="188" t="e">
        <f>VLOOKUP(T9,Data!$CL$2:$CO$9,3,FALSE)</f>
        <v>#N/A</v>
      </c>
      <c r="BR9" s="188" t="e">
        <f>VLOOKUP(T9,Data!$CL$2:$CO$9,4,FALSE)</f>
        <v>#N/A</v>
      </c>
      <c r="BS9" s="132" t="e">
        <f>IF(OR(AND(BP9=1,U9="")), "Error", "OK")</f>
        <v>#N/A</v>
      </c>
      <c r="BT9" s="132" t="e">
        <f>IF(OR(AND(BQ9=1,V9="")), "Error", "OK")</f>
        <v>#N/A</v>
      </c>
      <c r="BU9" s="132" t="e">
        <f>IF(OR(AND(BR9=1,W9="")), "Error", "OK")</f>
        <v>#N/A</v>
      </c>
      <c r="BV9" s="132" t="str">
        <f>IF(COUNTIF(BS9:BU9,$BV$7),"Required","")</f>
        <v/>
      </c>
      <c r="BW9" s="132" t="str">
        <f>IF(OR(AND(BO9="Yes"), AND(BV9="Required")),"Yes","No")</f>
        <v>No</v>
      </c>
      <c r="BX9" s="132" t="str">
        <f>IF(OR(AND(T9="", BW9="Yes")),"Highlight","No")</f>
        <v>No</v>
      </c>
      <c r="BY9" s="132" t="str">
        <f t="shared" ref="BY9:BY16" si="6">IF(OR(AND(D9&gt;1800, J9="")), "Yes","No")</f>
        <v>No</v>
      </c>
      <c r="BZ9" s="7" t="s">
        <v>32</v>
      </c>
      <c r="CA9" s="7" t="s">
        <v>297</v>
      </c>
      <c r="CC9" s="7" t="s">
        <v>362</v>
      </c>
      <c r="CD9" s="7" t="s">
        <v>361</v>
      </c>
      <c r="CE9" s="7" t="s">
        <v>363</v>
      </c>
      <c r="CF9" s="7" t="b">
        <f>IF(E9=$CC$8,$CC$9,IF(E9=$CD$8,$CD$9,IF(E9=$CE$8,$CE$9)))</f>
        <v>0</v>
      </c>
      <c r="CI9" s="7" t="s">
        <v>368</v>
      </c>
      <c r="CJ9" s="7" t="s">
        <v>369</v>
      </c>
      <c r="CK9" s="7" t="s">
        <v>495</v>
      </c>
      <c r="CL9" s="7" t="str">
        <f>$EQ$8</f>
        <v>Shaped</v>
      </c>
      <c r="CM9" s="210" t="s">
        <v>24</v>
      </c>
      <c r="CN9" s="209" t="str">
        <f>$CC$9</f>
        <v>ExternalMoutingMethodMS</v>
      </c>
      <c r="CO9" s="209" t="str">
        <f>$CC$9</f>
        <v>ExternalMoutingMethodMS</v>
      </c>
      <c r="CP9" s="209" t="str">
        <f>$CC$9</f>
        <v>ExternalMoutingMethodMS</v>
      </c>
      <c r="CR9" s="7" t="e">
        <f>MATCH(E9,$CM$9:$CM$11,0)</f>
        <v>#N/A</v>
      </c>
      <c r="CS9" s="7" t="e">
        <f>MATCH(K9,$CN$8:$CP$8,0)</f>
        <v>#N/A</v>
      </c>
      <c r="CT9" s="7" t="e">
        <f>INDEX($CN$9:$CP$11,CR9,CS9)</f>
        <v>#N/A</v>
      </c>
      <c r="CU9" s="7" t="s">
        <v>358</v>
      </c>
      <c r="CV9" s="7" t="s">
        <v>19</v>
      </c>
      <c r="CW9" s="7" t="str">
        <f>$CY$8</f>
        <v>HingeColourYes</v>
      </c>
      <c r="CX9" s="7" t="str">
        <f>$DC$8</f>
        <v>HingedDoubleHingedFrames</v>
      </c>
      <c r="CY9" s="7" t="s">
        <v>72</v>
      </c>
      <c r="CZ9" s="7" t="s">
        <v>26</v>
      </c>
      <c r="DA9" s="7" t="s">
        <v>243</v>
      </c>
      <c r="DB9" s="7" t="e">
        <f t="shared" ref="DB9:DB24" si="7">VLOOKUP(L9,$CU$9:$CW$15,3,FALSE)</f>
        <v>#N/A</v>
      </c>
      <c r="DC9" s="223" t="s">
        <v>387</v>
      </c>
      <c r="DD9" s="7" t="s">
        <v>29</v>
      </c>
      <c r="DE9" s="7" t="s">
        <v>393</v>
      </c>
      <c r="DF9" s="7" t="s">
        <v>394</v>
      </c>
      <c r="DG9" s="7" t="s">
        <v>395</v>
      </c>
      <c r="DH9" s="7" t="e">
        <f t="shared" ref="DH9:DH24" si="8">VLOOKUP(L9,$CU$9:$CX$15,4,FALSE)</f>
        <v>#N/A</v>
      </c>
      <c r="DI9" s="223" t="s">
        <v>387</v>
      </c>
      <c r="DJ9" s="223" t="str">
        <f t="shared" ref="DJ9:DL11" si="9">$DM$8</f>
        <v>FZFrameLeftRight</v>
      </c>
      <c r="DK9" s="223" t="str">
        <f t="shared" si="9"/>
        <v>FZFrameLeftRight</v>
      </c>
      <c r="DL9" s="223" t="str">
        <f t="shared" si="9"/>
        <v>FZFrameLeftRight</v>
      </c>
      <c r="DM9" s="7" t="s">
        <v>19</v>
      </c>
      <c r="DO9" s="7" t="s">
        <v>401</v>
      </c>
      <c r="DP9" s="7" t="s">
        <v>401</v>
      </c>
      <c r="DQ9" s="7" t="s">
        <v>401</v>
      </c>
      <c r="DR9" s="7" t="s">
        <v>30</v>
      </c>
      <c r="DS9" s="7" t="e">
        <f t="shared" ref="DS9:DS23" si="10">VLOOKUP(O9,$DI$9:$DJ$16,2,FALSE)</f>
        <v>#N/A</v>
      </c>
      <c r="DT9" s="7" t="s">
        <v>19</v>
      </c>
      <c r="DU9" s="7" t="s">
        <v>542</v>
      </c>
      <c r="DV9" s="7" t="s">
        <v>543</v>
      </c>
      <c r="DW9" s="7" t="e">
        <f t="shared" ref="DW9:DW24" si="11">VLOOKUP(O9,$DI$9:$DK$16,3,FALSE)</f>
        <v>#N/A</v>
      </c>
      <c r="DX9" s="7" t="e">
        <f t="shared" ref="DX9:DX24" si="12">VLOOKUP(O9,$DI$9:$DL$16,4,FALSE)</f>
        <v>#N/A</v>
      </c>
      <c r="DY9" s="7" t="s">
        <v>26</v>
      </c>
      <c r="DZ9" s="7" t="str">
        <f>IF(H9=$DZ$7,$EA$8,$CK$8)</f>
        <v>EcoExternalAluminiumColour</v>
      </c>
      <c r="EA9" s="7" t="s">
        <v>504</v>
      </c>
      <c r="EB9" s="7" t="s">
        <v>506</v>
      </c>
      <c r="EF9" s="7" t="s">
        <v>32</v>
      </c>
      <c r="EG9" s="7">
        <v>1</v>
      </c>
      <c r="EH9" s="7">
        <f>IF(T9="",0,VLOOKUP(T9,$EF$9:$EG$14,2,FALSE))</f>
        <v>0</v>
      </c>
      <c r="EI9" s="7">
        <f>IF(T9="",0, VLOOKUP(M9,Data!$AY$3:$BA$120,3,FALSE))</f>
        <v>0</v>
      </c>
      <c r="EJ9" s="7">
        <f>EH9-EI9</f>
        <v>0</v>
      </c>
      <c r="EL9" s="7" t="s">
        <v>502</v>
      </c>
      <c r="EM9" s="7" t="str">
        <f>EN8</f>
        <v>TiltrodBoth</v>
      </c>
      <c r="EN9" s="7" t="s">
        <v>531</v>
      </c>
      <c r="EO9" s="7" t="s">
        <v>26</v>
      </c>
      <c r="EP9" s="7" t="e">
        <f>VLOOKUP(H9,$EL$9:$EM$11,2,FALSE)</f>
        <v>#N/A</v>
      </c>
      <c r="EQ9" s="7" t="s">
        <v>297</v>
      </c>
      <c r="ER9" s="7" t="s">
        <v>297</v>
      </c>
      <c r="ES9" s="7" t="e">
        <f>VLOOKUP(I9,$CK$9:$CL$17,2,FALSE)</f>
        <v>#N/A</v>
      </c>
      <c r="EV9" s="210" t="s">
        <v>24</v>
      </c>
      <c r="EW9" s="209" t="str">
        <f>$AG$8</f>
        <v xml:space="preserve"> 63mm114mmProductInMS</v>
      </c>
      <c r="EX9" s="209" t="str">
        <f>$AI$8</f>
        <v>AluminiumProductAll</v>
      </c>
      <c r="EY9" s="209" t="str">
        <f>$AG$8</f>
        <v xml:space="preserve"> 63mm114mmProductInMS</v>
      </c>
      <c r="FA9" s="7" t="e">
        <f>MATCH(E9,$EV$9:$EV$11,0)</f>
        <v>#N/A</v>
      </c>
      <c r="FB9" s="7" t="e">
        <f>MATCH(G9,$EW$8:$EY$8,0)</f>
        <v>#N/A</v>
      </c>
      <c r="FC9" s="7" t="e">
        <f>INDEX($EW$9:$EY$11,FA9,FB9)</f>
        <v>#N/A</v>
      </c>
    </row>
    <row r="10" spans="1:159" ht="26.25" customHeight="1" x14ac:dyDescent="0.2">
      <c r="A10" s="14">
        <v>2</v>
      </c>
      <c r="B10" s="253"/>
      <c r="C10" s="254"/>
      <c r="D10" s="253"/>
      <c r="E10" s="254"/>
      <c r="F10" s="242"/>
      <c r="G10" s="242"/>
      <c r="H10" s="254"/>
      <c r="I10" s="254"/>
      <c r="J10" s="255"/>
      <c r="K10" s="255"/>
      <c r="L10" s="256"/>
      <c r="M10" s="255"/>
      <c r="N10" s="257"/>
      <c r="O10" s="257"/>
      <c r="P10" s="258"/>
      <c r="Q10" s="258"/>
      <c r="R10" s="259"/>
      <c r="S10" s="259"/>
      <c r="T10" s="259"/>
      <c r="U10" s="260"/>
      <c r="V10" s="260"/>
      <c r="W10" s="260"/>
      <c r="X10" s="250"/>
      <c r="Y10" s="257"/>
      <c r="Z10" s="261"/>
      <c r="AA10" s="262" t="str">
        <f t="shared" si="0"/>
        <v/>
      </c>
      <c r="AE10" s="198"/>
      <c r="AG10" s="7" t="s">
        <v>525</v>
      </c>
      <c r="AH10" s="7" t="str">
        <f t="shared" ref="AH10:AH23" si="13">IF(E10=$AI$7,$AI$8,$AJ$8)</f>
        <v>AluminiumProductInOut</v>
      </c>
      <c r="AI10" s="7" t="s">
        <v>501</v>
      </c>
      <c r="AJ10" s="7" t="s">
        <v>501</v>
      </c>
      <c r="AK10" s="7" t="e">
        <f t="shared" ref="AK10:AK23" si="14">IF(Y10=$AK$7,$AL$6,IF(Y10=$AK$6,$AN$8,AT10))</f>
        <v>#N/A</v>
      </c>
      <c r="AL10" s="7" t="e">
        <f t="shared" si="1"/>
        <v>#N/A</v>
      </c>
      <c r="AM10" s="7" t="s">
        <v>451</v>
      </c>
      <c r="AO10" s="7" t="s">
        <v>46</v>
      </c>
      <c r="AP10" s="7" t="str">
        <f>$AM$8</f>
        <v>FlushBoltYes</v>
      </c>
      <c r="AQ10" s="7" t="str">
        <f>$AR$8</f>
        <v>FlushBoltHinged</v>
      </c>
      <c r="AR10" s="7" t="s">
        <v>22</v>
      </c>
      <c r="AT10" s="7" t="e">
        <f t="shared" si="2"/>
        <v>#N/A</v>
      </c>
      <c r="AU10" s="7" t="b">
        <f>IF(L10=Data!$CD$1,Data!$CF$1, IF(L10=Data!$CD$2,Data!$CG$1,IF(L10=Data!$CD$3,Data!$CH$1,IF(L10=Data!$CD$4,Data!$CI$1,IF(L10=Data!$CD$5,Data!$CJ$1)))))</f>
        <v>0</v>
      </c>
      <c r="AV10" s="121" t="b">
        <f>IF(E10=Data!$E$1,Data!$A$1,IF('Eco Aluminium External Shutters'!E10=Data!$E$2,Data!$B$1,IF('Eco Aluminium External Shutters'!E10=Data!$E$3,Data!$C$1)))</f>
        <v>0</v>
      </c>
      <c r="AW10" s="121" t="b">
        <f>IF(E10=Data!$E$1,Data!$G$1, IF(E10=Data!$E$2,Data!$H$1, IF(E10=Data!$E$3,Data!$I$1)))</f>
        <v>0</v>
      </c>
      <c r="AX10" s="121" t="b">
        <f>IF(E10=Data!$E$1,Data!$K$1,IF(E10=Data!$E$2,Data!$L$1, IF(E10=Data!$E$3,Data!$M$1)))</f>
        <v>0</v>
      </c>
      <c r="AY10" s="121" t="b">
        <f>IF(E10=Data!$E$1,Data!$O$1, IF(E10=Data!$E$2,Data!$P$1, IF(E10=Data!$E$3,Data!$Q$1)))</f>
        <v>0</v>
      </c>
      <c r="AZ10" s="121" t="b">
        <f>IF(L10=Data!$AJ$2,Data!$AK$1,IF(L10=Data!$AJ$3,Data!$AL$1,IF(L10=Data!$AJ$4,Data!$AM$1,IF(L10=Data!$AJ$5,Data!$AN$1,IF(L10=Data!$AJ$6,Data!$AO$1, IF(L10=Data!$AJ$7,Data!$AP$1,IF(L10=Data!$AJ$8,Data!$AQ$1)))))))</f>
        <v>0</v>
      </c>
      <c r="BA10" s="121" t="b">
        <f>IF(L10=Data!$BO$1,Data!$BP$1, IF(L10=Data!$BO$2,Data!$BQ$1, IF(L10=Data!$BO$3,Data!$BR$1, IF(L10=Data!$BO$4,Data!$BS$1, IF(L10=Data!$BO$5,Data!$BT$1)))))</f>
        <v>0</v>
      </c>
      <c r="BB10" s="122">
        <f t="shared" si="3"/>
        <v>0</v>
      </c>
      <c r="BC10" s="122" t="e">
        <f>VLOOKUP(M10,Data!$AY$2:$AZ$120,2,FALSE)</f>
        <v>#N/A</v>
      </c>
      <c r="BD10" s="122" t="e">
        <f t="shared" si="4"/>
        <v>#N/A</v>
      </c>
      <c r="BE10" s="130" t="str">
        <f>IF(OR(AND(P10="",O10&lt;&gt;"")),VLOOKUP(O10,Data!$BC$2:$BD$6,2,FALSE),"")</f>
        <v/>
      </c>
      <c r="BF10" s="130" t="str">
        <f>IF(OR(AND(Q10="",O10&lt;&gt;"")),VLOOKUP(O10,Data!$BC$2:$BD$6,2,FALSE),"")</f>
        <v/>
      </c>
      <c r="BG10" s="130" t="str">
        <f>IF(OR(AND(R10="",O10&lt;&gt;"")),VLOOKUP(O10,Data!$BC$2:$BD$6,2,FALSE),"")</f>
        <v/>
      </c>
      <c r="BH10" s="130" t="str">
        <f>IF(OR(AND(S10="",O10&lt;&gt;"")),VLOOKUP(O10,Data!$BC$2:$BD$6,2,FALSE),"")</f>
        <v/>
      </c>
      <c r="BI10" s="132" t="b">
        <f>IF(L10=Data!$BF$2,Data!$BG$1, IF(L10=Data!$BF$3,Data!$BH$1, IF(L10=Data!$BF$4,Data!$BI$1, IF(L10=Data!$BF$5,Data!$BJ$1, IF(L10=Data!$BF$6,Data!$BK$1)))))</f>
        <v>0</v>
      </c>
      <c r="BJ10" s="132" t="str">
        <f>IF(OR(AND(D10&lt;830, Y10=Data!$BM$1)),"Yes","No")</f>
        <v>No</v>
      </c>
      <c r="BK10" s="132" t="e">
        <f>VLOOKUP(L10,Data!$BZ$1:$CA$5,2,FALSE)</f>
        <v>#N/A</v>
      </c>
      <c r="BL10" s="132" t="e">
        <f t="shared" si="5"/>
        <v>#DIV/0!</v>
      </c>
      <c r="BM10" s="132" t="e">
        <f t="shared" ref="BM10:BM16" si="15">BK10-BL10</f>
        <v>#N/A</v>
      </c>
      <c r="BN10" s="132" t="e">
        <f t="shared" ref="BN10:BN16" si="16">IF(BM10&lt;0, "Oversize", "OK")</f>
        <v>#N/A</v>
      </c>
      <c r="BO10" s="188" t="str">
        <f>IF(SUM(--ISNUMBER( SEARCH({"t","T"},M10))),"Yes","No")</f>
        <v>No</v>
      </c>
      <c r="BP10" s="188" t="e">
        <f>VLOOKUP(T10,Data!$CL$2:$CO$9,2,FALSE)</f>
        <v>#N/A</v>
      </c>
      <c r="BQ10" s="188" t="e">
        <f>VLOOKUP(T10,Data!$CL$2:$CO$9,3,FALSE)</f>
        <v>#N/A</v>
      </c>
      <c r="BR10" s="188" t="e">
        <f>VLOOKUP(T10,Data!$CL$2:$CO$9,4,FALSE)</f>
        <v>#N/A</v>
      </c>
      <c r="BS10" s="132" t="e">
        <f t="shared" ref="BS10:BS16" si="17">IF(OR(AND(BP10=1,U10="")), "Error", "OK")</f>
        <v>#N/A</v>
      </c>
      <c r="BT10" s="132" t="e">
        <f t="shared" ref="BT10:BT16" si="18">IF(OR(AND(BQ10=1,V10="")), "Error", "OK")</f>
        <v>#N/A</v>
      </c>
      <c r="BU10" s="132" t="e">
        <f t="shared" ref="BU10:BU16" si="19">IF(OR(AND(BR10=1,W10="")), "Error", "OK")</f>
        <v>#N/A</v>
      </c>
      <c r="BV10" s="132" t="str">
        <f t="shared" ref="BV10:BV16" si="20">IF(COUNTIF(BS10:BU10,$BV$7),"Required","")</f>
        <v/>
      </c>
      <c r="BW10" s="132" t="str">
        <f t="shared" ref="BW10:BW16" si="21">IF(OR(AND(BO10="Yes"), AND(BV10="Required")),"Yes","No")</f>
        <v>No</v>
      </c>
      <c r="BX10" s="132" t="str">
        <f t="shared" ref="BX10:BX16" si="22">IF(OR(AND(T10="", BW10="Yes")),"Highlight","No")</f>
        <v>No</v>
      </c>
      <c r="BY10" s="132" t="str">
        <f t="shared" si="6"/>
        <v>No</v>
      </c>
      <c r="BZ10" s="7" t="s">
        <v>34</v>
      </c>
      <c r="CA10" s="7" t="s">
        <v>365</v>
      </c>
      <c r="CC10" s="7" t="s">
        <v>26</v>
      </c>
      <c r="CD10" s="7" t="s">
        <v>358</v>
      </c>
      <c r="CE10" s="7" t="s">
        <v>358</v>
      </c>
      <c r="CF10" s="7" t="b">
        <f>IF(E10=$CC$8,$CC$9,IF(E10=$CD$8,$CD$9,IF(E10=$CE$8,$CE$9)))</f>
        <v>0</v>
      </c>
      <c r="CI10" s="7" t="s">
        <v>44</v>
      </c>
      <c r="CJ10" s="7" t="s">
        <v>46</v>
      </c>
      <c r="CK10" s="7" t="s">
        <v>496</v>
      </c>
      <c r="CL10" s="7" t="str">
        <f>$ER$8</f>
        <v>NoShapes</v>
      </c>
      <c r="CM10" s="210" t="s">
        <v>23</v>
      </c>
      <c r="CN10" s="209" t="str">
        <f>$CD$9</f>
        <v>ExternalMoutingMethodIN</v>
      </c>
      <c r="CO10" s="209" t="str">
        <f>$CI$9</f>
        <v>ExternalShapedMountingMethodIn</v>
      </c>
      <c r="CP10" s="209" t="str">
        <f>$CI$9</f>
        <v>ExternalShapedMountingMethodIn</v>
      </c>
      <c r="CR10" s="7" t="e">
        <f t="shared" ref="CR10:CR24" si="23">MATCH(E10,$CM$9:$CM$11,0)</f>
        <v>#N/A</v>
      </c>
      <c r="CS10" s="7" t="e">
        <f t="shared" ref="CS10:CS24" si="24">MATCH(K10,$CN$8:$CP$8,0)</f>
        <v>#N/A</v>
      </c>
      <c r="CT10" s="7" t="e">
        <f t="shared" ref="CT10:CT24" si="25">INDEX($CN$9:$CP$11,CR10,CS10)</f>
        <v>#N/A</v>
      </c>
      <c r="CU10" s="7" t="s">
        <v>44</v>
      </c>
      <c r="CV10" s="7" t="s">
        <v>30</v>
      </c>
      <c r="CW10" s="7" t="str">
        <f>$CZ$8</f>
        <v>HingeColourNo</v>
      </c>
      <c r="CX10" s="7" t="str">
        <f>DD8</f>
        <v>FixedFrames</v>
      </c>
      <c r="CY10" s="7" t="s">
        <v>383</v>
      </c>
      <c r="DB10" s="7" t="e">
        <f t="shared" si="7"/>
        <v>#N/A</v>
      </c>
      <c r="DC10" s="222" t="s">
        <v>385</v>
      </c>
      <c r="DH10" s="7" t="e">
        <f t="shared" si="8"/>
        <v>#N/A</v>
      </c>
      <c r="DI10" s="222" t="s">
        <v>385</v>
      </c>
      <c r="DJ10" s="223" t="str">
        <f t="shared" si="9"/>
        <v>FZFrameLeftRight</v>
      </c>
      <c r="DK10" s="223" t="str">
        <f t="shared" si="9"/>
        <v>FZFrameLeftRight</v>
      </c>
      <c r="DL10" s="223" t="str">
        <f t="shared" si="9"/>
        <v>FZFrameLeftRight</v>
      </c>
      <c r="DM10" s="7" t="s">
        <v>30</v>
      </c>
      <c r="DO10" s="7" t="s">
        <v>30</v>
      </c>
      <c r="DP10" s="7" t="s">
        <v>30</v>
      </c>
      <c r="DQ10" s="7" t="s">
        <v>406</v>
      </c>
      <c r="DS10" s="7" t="e">
        <f t="shared" si="10"/>
        <v>#N/A</v>
      </c>
      <c r="DW10" s="7" t="e">
        <f t="shared" si="11"/>
        <v>#N/A</v>
      </c>
      <c r="DX10" s="7" t="e">
        <f t="shared" si="12"/>
        <v>#N/A</v>
      </c>
      <c r="DZ10" s="7" t="str">
        <f t="shared" ref="DZ10:DZ24" si="26">IF(H10=$DZ$7,$EA$8,$CK$8)</f>
        <v>EcoExternalAluminiumColour</v>
      </c>
      <c r="EA10" s="7" t="s">
        <v>544</v>
      </c>
      <c r="EB10" s="7" t="s">
        <v>507</v>
      </c>
      <c r="EF10" s="7" t="s">
        <v>34</v>
      </c>
      <c r="EG10" s="7">
        <v>2</v>
      </c>
      <c r="EH10" s="7">
        <f t="shared" ref="EH10:EH14" si="27">IF(T10="",0,VLOOKUP(T10,$EF$9:$EG$14,2,FALSE))</f>
        <v>0</v>
      </c>
      <c r="EI10" s="7">
        <f>IF(T10="",0, VLOOKUP(M10,Data!$AY$3:$BA$120,3,FALSE))</f>
        <v>0</v>
      </c>
      <c r="EJ10" s="7">
        <f t="shared" ref="EJ10:EJ24" si="28">EH10-EI10</f>
        <v>0</v>
      </c>
      <c r="EL10" s="7" t="s">
        <v>501</v>
      </c>
      <c r="EM10" s="7" t="str">
        <f>EN8</f>
        <v>TiltrodBoth</v>
      </c>
      <c r="EN10" s="7" t="s">
        <v>532</v>
      </c>
      <c r="EP10" s="7" t="e">
        <f t="shared" ref="EP10:EP24" si="29">VLOOKUP(H10,$EL$9:$EM$11,2,FALSE)</f>
        <v>#N/A</v>
      </c>
      <c r="EQ10" s="7" t="s">
        <v>365</v>
      </c>
      <c r="ES10" s="7" t="e">
        <f t="shared" ref="ES10:ES24" si="30">VLOOKUP(I10,$CK$9:$CL$17,2,FALSE)</f>
        <v>#N/A</v>
      </c>
      <c r="EV10" s="210" t="s">
        <v>23</v>
      </c>
      <c r="EW10" s="209" t="str">
        <f>$AF$8</f>
        <v xml:space="preserve"> 63mm114mmProductOut</v>
      </c>
      <c r="EX10" s="209" t="str">
        <f>$AJ$8</f>
        <v>AluminiumProductInOut</v>
      </c>
      <c r="EY10" s="209" t="str">
        <f>$AF$8</f>
        <v xml:space="preserve"> 63mm114mmProductOut</v>
      </c>
      <c r="FA10" s="7" t="e">
        <f t="shared" ref="FA10:FA24" si="31">MATCH(E10,$EV$9:$EV$11,0)</f>
        <v>#N/A</v>
      </c>
      <c r="FB10" s="7" t="e">
        <f t="shared" ref="FB10:FB24" si="32">MATCH(G10,$EW$8:$EY$8,0)</f>
        <v>#N/A</v>
      </c>
      <c r="FC10" s="7" t="e">
        <f t="shared" ref="FC10:FC24" si="33">INDEX($EW$9:$EY$11,FA10,FB10)</f>
        <v>#N/A</v>
      </c>
    </row>
    <row r="11" spans="1:159" ht="26.25" customHeight="1" x14ac:dyDescent="0.2">
      <c r="A11" s="14">
        <v>3</v>
      </c>
      <c r="B11" s="253"/>
      <c r="C11" s="260"/>
      <c r="D11" s="253"/>
      <c r="E11" s="254"/>
      <c r="F11" s="242"/>
      <c r="G11" s="242"/>
      <c r="H11" s="254"/>
      <c r="I11" s="254"/>
      <c r="J11" s="255"/>
      <c r="K11" s="255"/>
      <c r="L11" s="256"/>
      <c r="M11" s="255"/>
      <c r="N11" s="257"/>
      <c r="O11" s="257"/>
      <c r="P11" s="258"/>
      <c r="Q11" s="258"/>
      <c r="R11" s="258"/>
      <c r="S11" s="258"/>
      <c r="T11" s="258"/>
      <c r="U11" s="254"/>
      <c r="V11" s="254"/>
      <c r="W11" s="254"/>
      <c r="X11" s="250"/>
      <c r="Y11" s="257"/>
      <c r="Z11" s="263"/>
      <c r="AA11" s="262" t="str">
        <f t="shared" si="0"/>
        <v/>
      </c>
      <c r="AE11" s="198"/>
      <c r="AH11" s="7" t="str">
        <f t="shared" si="13"/>
        <v>AluminiumProductInOut</v>
      </c>
      <c r="AI11" s="7" t="s">
        <v>525</v>
      </c>
      <c r="AK11" s="7" t="e">
        <f t="shared" si="14"/>
        <v>#N/A</v>
      </c>
      <c r="AL11" s="7" t="e">
        <f t="shared" si="1"/>
        <v>#N/A</v>
      </c>
      <c r="AM11" s="7" t="s">
        <v>383</v>
      </c>
      <c r="AO11" s="7" t="s">
        <v>359</v>
      </c>
      <c r="AP11" s="7" t="str">
        <f>$AM$8</f>
        <v>FlushBoltYes</v>
      </c>
      <c r="AQ11" s="7" t="str">
        <f>$AR$8</f>
        <v>FlushBoltHinged</v>
      </c>
      <c r="AR11" s="7" t="s">
        <v>418</v>
      </c>
      <c r="AT11" s="7" t="e">
        <f t="shared" si="2"/>
        <v>#N/A</v>
      </c>
      <c r="AU11" s="7" t="b">
        <f>IF(L11=Data!$CD$1,Data!$CF$1, IF(L11=Data!$CD$2,Data!$CG$1,IF(L11=Data!$CD$3,Data!$CH$1,IF(L11=Data!$CD$4,Data!$CI$1,IF(L11=Data!$CD$5,Data!$CJ$1)))))</f>
        <v>0</v>
      </c>
      <c r="AV11" s="121" t="b">
        <f>IF(E11=Data!$E$1,Data!$A$1,IF('Eco Aluminium External Shutters'!E11=Data!$E$2,Data!$B$1,IF('Eco Aluminium External Shutters'!E11=Data!$E$3,Data!$C$1)))</f>
        <v>0</v>
      </c>
      <c r="AW11" s="121" t="b">
        <f>IF(E11=Data!$E$1,Data!$G$1, IF(E11=Data!$E$2,Data!$H$1, IF(E11=Data!$E$3,Data!$I$1)))</f>
        <v>0</v>
      </c>
      <c r="AX11" s="121" t="b">
        <f>IF(E11=Data!$E$1,Data!$K$1,IF(E11=Data!$E$2,Data!$L$1, IF(E11=Data!$E$3,Data!$M$1)))</f>
        <v>0</v>
      </c>
      <c r="AY11" s="121" t="b">
        <f>IF(E11=Data!$E$1,Data!$O$1, IF(E11=Data!$E$2,Data!$P$1, IF(E11=Data!$E$3,Data!$Q$1)))</f>
        <v>0</v>
      </c>
      <c r="AZ11" s="121" t="b">
        <f>IF(L11=Data!$AJ$2,Data!$AK$1,IF(L11=Data!$AJ$3,Data!$AL$1,IF(L11=Data!$AJ$4,Data!$AM$1,IF(L11=Data!$AJ$5,Data!$AN$1,IF(L11=Data!$AJ$6,Data!$AO$1, IF(L11=Data!$AJ$7,Data!$AP$1,IF(L11=Data!$AJ$8,Data!$AQ$1)))))))</f>
        <v>0</v>
      </c>
      <c r="BA11" s="121" t="b">
        <f>IF(L11=Data!$BO$1,Data!$BP$1, IF(L11=Data!$BO$2,Data!$BQ$1, IF(L11=Data!$BO$3,Data!$BR$1, IF(L11=Data!$BO$4,Data!$BS$1, IF(L11=Data!$BO$5,Data!$BT$1)))))</f>
        <v>0</v>
      </c>
      <c r="BB11" s="122">
        <f t="shared" si="3"/>
        <v>0</v>
      </c>
      <c r="BC11" s="122" t="e">
        <f>VLOOKUP(M11,Data!$AY$2:$AZ$120,2,FALSE)</f>
        <v>#N/A</v>
      </c>
      <c r="BD11" s="122" t="e">
        <f t="shared" si="4"/>
        <v>#N/A</v>
      </c>
      <c r="BE11" s="130" t="str">
        <f>IF(OR(AND(P11="",O11&lt;&gt;"")),VLOOKUP(O11,Data!$BC$2:$BD$6,2,FALSE),"")</f>
        <v/>
      </c>
      <c r="BF11" s="130" t="str">
        <f>IF(OR(AND(Q11="",O11&lt;&gt;"")),VLOOKUP(O11,Data!$BC$2:$BD$6,2,FALSE),"")</f>
        <v/>
      </c>
      <c r="BG11" s="130" t="str">
        <f>IF(OR(AND(R11="",O11&lt;&gt;"")),VLOOKUP(O11,Data!$BC$2:$BD$6,2,FALSE),"")</f>
        <v/>
      </c>
      <c r="BH11" s="130" t="str">
        <f>IF(OR(AND(S11="",O11&lt;&gt;"")),VLOOKUP(O11,Data!$BC$2:$BD$6,2,FALSE),"")</f>
        <v/>
      </c>
      <c r="BI11" s="132" t="b">
        <f>IF(L11=Data!$BF$2,Data!$BG$1, IF(L11=Data!$BF$3,Data!$BH$1, IF(L11=Data!$BF$4,Data!$BI$1, IF(L11=Data!$BF$5,Data!$BJ$1, IF(L11=Data!$BF$6,Data!$BK$1)))))</f>
        <v>0</v>
      </c>
      <c r="BJ11" s="132" t="str">
        <f>IF(OR(AND(D11&lt;830, Y11=Data!$BM$1)),"Yes","No")</f>
        <v>No</v>
      </c>
      <c r="BK11" s="132" t="e">
        <f>VLOOKUP(L11,Data!$BZ$1:$CA$5,2,FALSE)</f>
        <v>#N/A</v>
      </c>
      <c r="BL11" s="132" t="e">
        <f t="shared" si="5"/>
        <v>#DIV/0!</v>
      </c>
      <c r="BM11" s="132" t="e">
        <f t="shared" si="15"/>
        <v>#N/A</v>
      </c>
      <c r="BN11" s="132" t="e">
        <f t="shared" si="16"/>
        <v>#N/A</v>
      </c>
      <c r="BO11" s="188" t="str">
        <f>IF(SUM(--ISNUMBER( SEARCH({"t","T"},M11))),"Yes","No")</f>
        <v>No</v>
      </c>
      <c r="BP11" s="188" t="e">
        <f>VLOOKUP(T11,Data!$CL$2:$CO$9,2,FALSE)</f>
        <v>#N/A</v>
      </c>
      <c r="BQ11" s="188" t="e">
        <f>VLOOKUP(T11,Data!$CL$2:$CO$9,3,FALSE)</f>
        <v>#N/A</v>
      </c>
      <c r="BR11" s="188" t="e">
        <f>VLOOKUP(T11,Data!$CL$2:$CO$9,4,FALSE)</f>
        <v>#N/A</v>
      </c>
      <c r="BS11" s="132" t="e">
        <f t="shared" si="17"/>
        <v>#N/A</v>
      </c>
      <c r="BT11" s="132" t="e">
        <f t="shared" si="18"/>
        <v>#N/A</v>
      </c>
      <c r="BU11" s="132" t="e">
        <f t="shared" si="19"/>
        <v>#N/A</v>
      </c>
      <c r="BV11" s="132" t="str">
        <f t="shared" si="20"/>
        <v/>
      </c>
      <c r="BW11" s="132" t="str">
        <f t="shared" si="21"/>
        <v>No</v>
      </c>
      <c r="BX11" s="132" t="str">
        <f t="shared" si="22"/>
        <v>No</v>
      </c>
      <c r="BY11" s="132" t="str">
        <f t="shared" si="6"/>
        <v>No</v>
      </c>
      <c r="BZ11" s="7" t="s">
        <v>36</v>
      </c>
      <c r="CA11" s="7" t="s">
        <v>366</v>
      </c>
      <c r="CD11" s="7" t="s">
        <v>44</v>
      </c>
      <c r="CE11" s="7" t="s">
        <v>46</v>
      </c>
      <c r="CF11" s="7" t="b">
        <f t="shared" ref="CF11:CF23" si="34">IF(E11=$CC$8,$CC$9,IF(E11=$CD$8,$CD$9,IF(E11=$CE$8,$CE$9)))</f>
        <v>0</v>
      </c>
      <c r="CI11" s="7" t="s">
        <v>46</v>
      </c>
      <c r="CK11" s="7" t="s">
        <v>497</v>
      </c>
      <c r="CL11" s="7" t="str">
        <f>$ER$8</f>
        <v>NoShapes</v>
      </c>
      <c r="CM11" s="210" t="s">
        <v>25</v>
      </c>
      <c r="CN11" s="209" t="str">
        <f>$CE$9</f>
        <v>ExternalMoutingMethodOUT</v>
      </c>
      <c r="CO11" s="209" t="str">
        <f>$CJ$9</f>
        <v>ExternalShapedMountingMethodOut</v>
      </c>
      <c r="CP11" s="209" t="str">
        <f>$CJ$9</f>
        <v>ExternalShapedMountingMethodOut</v>
      </c>
      <c r="CR11" s="7" t="e">
        <f t="shared" si="23"/>
        <v>#N/A</v>
      </c>
      <c r="CS11" s="7" t="e">
        <f t="shared" si="24"/>
        <v>#N/A</v>
      </c>
      <c r="CT11" s="7" t="e">
        <f t="shared" si="25"/>
        <v>#N/A</v>
      </c>
      <c r="CU11" s="7" t="s">
        <v>46</v>
      </c>
      <c r="CV11" s="7" t="s">
        <v>19</v>
      </c>
      <c r="CW11" s="7" t="str">
        <f>$CY$8</f>
        <v>HingeColourYes</v>
      </c>
      <c r="CX11" s="7" t="str">
        <f>$DC$8</f>
        <v>HingedDoubleHingedFrames</v>
      </c>
      <c r="CY11" s="7" t="s">
        <v>243</v>
      </c>
      <c r="DB11" s="7" t="e">
        <f t="shared" si="7"/>
        <v>#N/A</v>
      </c>
      <c r="DC11" s="222" t="s">
        <v>386</v>
      </c>
      <c r="DH11" s="7" t="e">
        <f t="shared" si="8"/>
        <v>#N/A</v>
      </c>
      <c r="DI11" s="222" t="s">
        <v>386</v>
      </c>
      <c r="DJ11" s="223" t="str">
        <f t="shared" si="9"/>
        <v>FZFrameLeftRight</v>
      </c>
      <c r="DK11" s="223" t="str">
        <f t="shared" si="9"/>
        <v>FZFrameLeftRight</v>
      </c>
      <c r="DL11" s="223" t="str">
        <f t="shared" si="9"/>
        <v>FZFrameLeftRight</v>
      </c>
      <c r="DO11" s="7" t="s">
        <v>529</v>
      </c>
      <c r="DQ11" s="7" t="s">
        <v>30</v>
      </c>
      <c r="DS11" s="7" t="e">
        <f t="shared" si="10"/>
        <v>#N/A</v>
      </c>
      <c r="DW11" s="7" t="e">
        <f t="shared" si="11"/>
        <v>#N/A</v>
      </c>
      <c r="DX11" s="7" t="e">
        <f t="shared" si="12"/>
        <v>#N/A</v>
      </c>
      <c r="DZ11" s="7" t="str">
        <f t="shared" si="26"/>
        <v>EcoExternalAluminiumColour</v>
      </c>
      <c r="EB11" s="7" t="s">
        <v>508</v>
      </c>
      <c r="EF11" s="7" t="s">
        <v>36</v>
      </c>
      <c r="EG11" s="7">
        <v>3</v>
      </c>
      <c r="EH11" s="7">
        <f t="shared" si="27"/>
        <v>0</v>
      </c>
      <c r="EI11" s="7">
        <f>IF(T11="",0, VLOOKUP(M11,Data!$AY$3:$BA$120,3,FALSE))</f>
        <v>0</v>
      </c>
      <c r="EJ11" s="7">
        <f t="shared" si="28"/>
        <v>0</v>
      </c>
      <c r="EL11" s="7" t="s">
        <v>525</v>
      </c>
      <c r="EM11" s="7" t="str">
        <f>EO8</f>
        <v>TiltPrivacy</v>
      </c>
      <c r="EP11" s="7" t="e">
        <f t="shared" si="29"/>
        <v>#N/A</v>
      </c>
      <c r="EQ11" s="7" t="s">
        <v>366</v>
      </c>
      <c r="ES11" s="7" t="e">
        <f t="shared" si="30"/>
        <v>#N/A</v>
      </c>
      <c r="EV11" s="210" t="s">
        <v>25</v>
      </c>
      <c r="EW11" s="209" t="str">
        <f>$AF$8</f>
        <v xml:space="preserve"> 63mm114mmProductOut</v>
      </c>
      <c r="EX11" s="209" t="str">
        <f>$AJ$8</f>
        <v>AluminiumProductInOut</v>
      </c>
      <c r="EY11" s="209" t="str">
        <f>$AF$8</f>
        <v xml:space="preserve"> 63mm114mmProductOut</v>
      </c>
      <c r="FA11" s="7" t="e">
        <f t="shared" si="31"/>
        <v>#N/A</v>
      </c>
      <c r="FB11" s="7" t="e">
        <f t="shared" si="32"/>
        <v>#N/A</v>
      </c>
      <c r="FC11" s="7" t="e">
        <f t="shared" si="33"/>
        <v>#N/A</v>
      </c>
    </row>
    <row r="12" spans="1:159" ht="26.25" customHeight="1" x14ac:dyDescent="0.2">
      <c r="A12" s="14">
        <v>4</v>
      </c>
      <c r="B12" s="253"/>
      <c r="C12" s="260"/>
      <c r="D12" s="253"/>
      <c r="E12" s="254"/>
      <c r="F12" s="242"/>
      <c r="G12" s="242"/>
      <c r="H12" s="254"/>
      <c r="I12" s="254"/>
      <c r="J12" s="255"/>
      <c r="K12" s="255"/>
      <c r="L12" s="256"/>
      <c r="M12" s="255"/>
      <c r="N12" s="257"/>
      <c r="O12" s="257"/>
      <c r="P12" s="258"/>
      <c r="Q12" s="258"/>
      <c r="R12" s="258"/>
      <c r="S12" s="258"/>
      <c r="T12" s="258"/>
      <c r="U12" s="254"/>
      <c r="V12" s="254"/>
      <c r="W12" s="254"/>
      <c r="X12" s="250"/>
      <c r="Y12" s="257"/>
      <c r="Z12" s="263"/>
      <c r="AA12" s="262" t="str">
        <f t="shared" si="0"/>
        <v/>
      </c>
      <c r="AE12" s="198"/>
      <c r="AH12" s="7" t="str">
        <f t="shared" si="13"/>
        <v>AluminiumProductInOut</v>
      </c>
      <c r="AK12" s="7" t="e">
        <f t="shared" si="14"/>
        <v>#N/A</v>
      </c>
      <c r="AL12" s="7" t="e">
        <f t="shared" si="1"/>
        <v>#N/A</v>
      </c>
      <c r="AO12" s="7" t="s">
        <v>45</v>
      </c>
      <c r="AP12" s="7" t="str">
        <f>$AM$8</f>
        <v>FlushBoltYes</v>
      </c>
      <c r="AQ12" s="7" t="str">
        <f>$AS$8</f>
        <v>FlushBoltBiFoldSlinding</v>
      </c>
      <c r="AT12" s="7" t="e">
        <f t="shared" si="2"/>
        <v>#N/A</v>
      </c>
      <c r="AU12" s="7" t="b">
        <f>IF(L12=Data!$CD$1,Data!$CF$1, IF(L12=Data!$CD$2,Data!$CG$1,IF(L12=Data!$CD$3,Data!$CH$1,IF(L12=Data!$CD$4,Data!$CI$1,IF(L12=Data!$CD$5,Data!$CJ$1)))))</f>
        <v>0</v>
      </c>
      <c r="AV12" s="121" t="b">
        <f>IF(E12=Data!$E$1,Data!$A$1,IF('Eco Aluminium External Shutters'!E12=Data!$E$2,Data!$B$1,IF('Eco Aluminium External Shutters'!E12=Data!$E$3,Data!$C$1)))</f>
        <v>0</v>
      </c>
      <c r="AW12" s="121" t="b">
        <f>IF(E12=Data!$E$1,Data!$G$1, IF(E12=Data!$E$2,Data!$H$1, IF(E12=Data!$E$3,Data!$I$1)))</f>
        <v>0</v>
      </c>
      <c r="AX12" s="121" t="b">
        <f>IF(E12=Data!$E$1,Data!$K$1,IF(E12=Data!$E$2,Data!$L$1, IF(E12=Data!$E$3,Data!$M$1)))</f>
        <v>0</v>
      </c>
      <c r="AY12" s="121" t="b">
        <f>IF(E12=Data!$E$1,Data!$O$1, IF(E12=Data!$E$2,Data!$P$1, IF(E12=Data!$E$3,Data!$Q$1)))</f>
        <v>0</v>
      </c>
      <c r="AZ12" s="121" t="b">
        <f>IF(L12=Data!$AJ$2,Data!$AK$1,IF(L12=Data!$AJ$3,Data!$AL$1,IF(L12=Data!$AJ$4,Data!$AM$1,IF(L12=Data!$AJ$5,Data!$AN$1,IF(L12=Data!$AJ$6,Data!$AO$1, IF(L12=Data!$AJ$7,Data!$AP$1,IF(L12=Data!$AJ$8,Data!$AQ$1)))))))</f>
        <v>0</v>
      </c>
      <c r="BA12" s="121" t="b">
        <f>IF(L12=Data!$BO$1,Data!$BP$1, IF(L12=Data!$BO$2,Data!$BQ$1, IF(L12=Data!$BO$3,Data!$BR$1, IF(L12=Data!$BO$4,Data!$BS$1, IF(L12=Data!$BO$5,Data!$BT$1)))))</f>
        <v>0</v>
      </c>
      <c r="BB12" s="122">
        <f t="shared" si="3"/>
        <v>0</v>
      </c>
      <c r="BC12" s="122" t="e">
        <f>VLOOKUP(M12,Data!$AY$2:$AZ$120,2,FALSE)</f>
        <v>#N/A</v>
      </c>
      <c r="BD12" s="122" t="e">
        <f t="shared" si="4"/>
        <v>#N/A</v>
      </c>
      <c r="BE12" s="130" t="str">
        <f>IF(OR(AND(P12="",O12&lt;&gt;"")),VLOOKUP(O12,Data!$BC$2:$BD$6,2,FALSE),"")</f>
        <v/>
      </c>
      <c r="BF12" s="130" t="str">
        <f>IF(OR(AND(Q12="",O12&lt;&gt;"")),VLOOKUP(O12,Data!$BC$2:$BD$6,2,FALSE),"")</f>
        <v/>
      </c>
      <c r="BG12" s="130" t="str">
        <f>IF(OR(AND(R12="",O12&lt;&gt;"")),VLOOKUP(O12,Data!$BC$2:$BD$6,2,FALSE),"")</f>
        <v/>
      </c>
      <c r="BH12" s="130" t="str">
        <f>IF(OR(AND(S12="",O12&lt;&gt;"")),VLOOKUP(O12,Data!$BC$2:$BD$6,2,FALSE),"")</f>
        <v/>
      </c>
      <c r="BI12" s="132" t="b">
        <f>IF(L12=Data!$BF$2,Data!$BG$1, IF(L12=Data!$BF$3,Data!$BH$1, IF(L12=Data!$BF$4,Data!$BI$1, IF(L12=Data!$BF$5,Data!$BJ$1, IF(L12=Data!$BF$6,Data!$BK$1)))))</f>
        <v>0</v>
      </c>
      <c r="BJ12" s="132" t="str">
        <f>IF(OR(AND(D12&lt;830, Y12=Data!$BM$1)),"Yes","No")</f>
        <v>No</v>
      </c>
      <c r="BK12" s="132" t="e">
        <f>VLOOKUP(L12,Data!$BZ$1:$CA$5,2,FALSE)</f>
        <v>#N/A</v>
      </c>
      <c r="BL12" s="132" t="e">
        <f t="shared" si="5"/>
        <v>#DIV/0!</v>
      </c>
      <c r="BM12" s="132" t="e">
        <f t="shared" si="15"/>
        <v>#N/A</v>
      </c>
      <c r="BN12" s="132" t="e">
        <f t="shared" si="16"/>
        <v>#N/A</v>
      </c>
      <c r="BO12" s="188" t="str">
        <f>IF(SUM(--ISNUMBER( SEARCH({"t","T"},M12))),"Yes","No")</f>
        <v>No</v>
      </c>
      <c r="BP12" s="188" t="e">
        <f>VLOOKUP(T12,Data!$CL$2:$CO$9,2,FALSE)</f>
        <v>#N/A</v>
      </c>
      <c r="BQ12" s="188" t="e">
        <f>VLOOKUP(T12,Data!$CL$2:$CO$9,3,FALSE)</f>
        <v>#N/A</v>
      </c>
      <c r="BR12" s="188" t="e">
        <f>VLOOKUP(T12,Data!$CL$2:$CO$9,4,FALSE)</f>
        <v>#N/A</v>
      </c>
      <c r="BS12" s="132" t="e">
        <f t="shared" si="17"/>
        <v>#N/A</v>
      </c>
      <c r="BT12" s="132" t="e">
        <f t="shared" si="18"/>
        <v>#N/A</v>
      </c>
      <c r="BU12" s="132" t="e">
        <f t="shared" si="19"/>
        <v>#N/A</v>
      </c>
      <c r="BV12" s="132" t="str">
        <f t="shared" si="20"/>
        <v/>
      </c>
      <c r="BW12" s="132" t="str">
        <f t="shared" si="21"/>
        <v>No</v>
      </c>
      <c r="BX12" s="132" t="str">
        <f t="shared" si="22"/>
        <v>No</v>
      </c>
      <c r="BY12" s="132" t="str">
        <f t="shared" si="6"/>
        <v>No</v>
      </c>
      <c r="BZ12" s="7" t="s">
        <v>31</v>
      </c>
      <c r="CD12" s="7" t="s">
        <v>46</v>
      </c>
      <c r="CE12" s="7" t="s">
        <v>359</v>
      </c>
      <c r="CF12" s="7" t="b">
        <f t="shared" si="34"/>
        <v>0</v>
      </c>
      <c r="CK12" s="7" t="s">
        <v>498</v>
      </c>
      <c r="CL12" s="7" t="str">
        <f>$EQ$8</f>
        <v>Shaped</v>
      </c>
      <c r="CR12" s="7" t="e">
        <f t="shared" si="23"/>
        <v>#N/A</v>
      </c>
      <c r="CS12" s="7" t="e">
        <f t="shared" si="24"/>
        <v>#N/A</v>
      </c>
      <c r="CT12" s="7" t="e">
        <f t="shared" si="25"/>
        <v>#N/A</v>
      </c>
      <c r="CU12" s="7" t="s">
        <v>359</v>
      </c>
      <c r="CV12" s="7" t="s">
        <v>380</v>
      </c>
      <c r="CW12" s="7" t="str">
        <f>DA8</f>
        <v>StainlessSteelHingeOnly</v>
      </c>
      <c r="CX12" s="7" t="str">
        <f>DG8</f>
        <v>PivotHingedFrames</v>
      </c>
      <c r="DB12" s="7" t="e">
        <f t="shared" si="7"/>
        <v>#N/A</v>
      </c>
      <c r="DH12" s="7" t="e">
        <f t="shared" si="8"/>
        <v>#N/A</v>
      </c>
      <c r="DI12" s="7" t="s">
        <v>29</v>
      </c>
      <c r="DJ12" s="7" t="str">
        <f>DO8</f>
        <v>UChannelLeftRight</v>
      </c>
      <c r="DK12" s="7" t="str">
        <f>$DT$8</f>
        <v>TopBottomYes</v>
      </c>
      <c r="DL12" s="7" t="str">
        <f>$DT$8</f>
        <v>TopBottomYes</v>
      </c>
      <c r="DS12" s="7" t="e">
        <f t="shared" si="10"/>
        <v>#N/A</v>
      </c>
      <c r="DW12" s="7" t="e">
        <f t="shared" si="11"/>
        <v>#N/A</v>
      </c>
      <c r="DX12" s="7" t="e">
        <f t="shared" si="12"/>
        <v>#N/A</v>
      </c>
      <c r="DZ12" s="7" t="str">
        <f t="shared" si="26"/>
        <v>EcoExternalAluminiumColour</v>
      </c>
      <c r="EB12" s="7" t="s">
        <v>509</v>
      </c>
      <c r="EF12" s="7" t="s">
        <v>31</v>
      </c>
      <c r="EG12" s="7">
        <v>0</v>
      </c>
      <c r="EH12" s="7">
        <f t="shared" si="27"/>
        <v>0</v>
      </c>
      <c r="EI12" s="7">
        <f>IF(T12="",0, VLOOKUP(M12,Data!$AY$3:$BA$120,3,FALSE))</f>
        <v>0</v>
      </c>
      <c r="EJ12" s="7">
        <f t="shared" si="28"/>
        <v>0</v>
      </c>
      <c r="EP12" s="7" t="e">
        <f t="shared" si="29"/>
        <v>#N/A</v>
      </c>
      <c r="ES12" s="7" t="e">
        <f t="shared" si="30"/>
        <v>#N/A</v>
      </c>
      <c r="FA12" s="7" t="e">
        <f t="shared" si="31"/>
        <v>#N/A</v>
      </c>
      <c r="FB12" s="7" t="e">
        <f t="shared" si="32"/>
        <v>#N/A</v>
      </c>
      <c r="FC12" s="7" t="e">
        <f t="shared" si="33"/>
        <v>#N/A</v>
      </c>
    </row>
    <row r="13" spans="1:159" ht="26.25" customHeight="1" x14ac:dyDescent="0.2">
      <c r="A13" s="14">
        <v>5</v>
      </c>
      <c r="B13" s="253"/>
      <c r="C13" s="260"/>
      <c r="D13" s="253"/>
      <c r="E13" s="254"/>
      <c r="F13" s="242"/>
      <c r="G13" s="242"/>
      <c r="H13" s="254"/>
      <c r="I13" s="254"/>
      <c r="J13" s="255"/>
      <c r="K13" s="255"/>
      <c r="L13" s="256"/>
      <c r="M13" s="255"/>
      <c r="N13" s="257"/>
      <c r="O13" s="257"/>
      <c r="P13" s="258"/>
      <c r="Q13" s="258"/>
      <c r="R13" s="258"/>
      <c r="S13" s="258"/>
      <c r="T13" s="258"/>
      <c r="U13" s="254"/>
      <c r="V13" s="254"/>
      <c r="W13" s="254"/>
      <c r="X13" s="250"/>
      <c r="Y13" s="257"/>
      <c r="Z13" s="263"/>
      <c r="AA13" s="262" t="str">
        <f t="shared" si="0"/>
        <v/>
      </c>
      <c r="AE13" s="198"/>
      <c r="AH13" s="7" t="str">
        <f t="shared" si="13"/>
        <v>AluminiumProductInOut</v>
      </c>
      <c r="AK13" s="7" t="e">
        <f t="shared" si="14"/>
        <v>#N/A</v>
      </c>
      <c r="AL13" s="7" t="e">
        <f t="shared" si="1"/>
        <v>#N/A</v>
      </c>
      <c r="AO13" s="7" t="s">
        <v>26</v>
      </c>
      <c r="AP13" s="7" t="str">
        <f>$AL$6</f>
        <v>FlushBoltLocationNA</v>
      </c>
      <c r="AQ13" s="7" t="str">
        <f>$AL$6</f>
        <v>FlushBoltLocationNA</v>
      </c>
      <c r="AT13" s="7" t="e">
        <f t="shared" si="2"/>
        <v>#N/A</v>
      </c>
      <c r="AU13" s="7" t="b">
        <f>IF(L13=Data!$CD$1,Data!$CF$1, IF(L13=Data!$CD$2,Data!$CG$1,IF(L13=Data!$CD$3,Data!$CH$1,IF(L13=Data!$CD$4,Data!$CI$1,IF(L13=Data!$CD$5,Data!$CJ$1)))))</f>
        <v>0</v>
      </c>
      <c r="AV13" s="121" t="b">
        <f>IF(E13=Data!$E$1,Data!$A$1,IF('Eco Aluminium External Shutters'!E13=Data!$E$2,Data!$B$1,IF('Eco Aluminium External Shutters'!E13=Data!$E$3,Data!$C$1)))</f>
        <v>0</v>
      </c>
      <c r="AW13" s="121" t="b">
        <f>IF(E13=Data!$E$1,Data!$G$1, IF(E13=Data!$E$2,Data!$H$1, IF(E13=Data!$E$3,Data!$I$1)))</f>
        <v>0</v>
      </c>
      <c r="AX13" s="121" t="b">
        <f>IF(E13=Data!$E$1,Data!$K$1,IF(E13=Data!$E$2,Data!$L$1, IF(E13=Data!$E$3,Data!$M$1)))</f>
        <v>0</v>
      </c>
      <c r="AY13" s="121" t="b">
        <f>IF(E13=Data!$E$1,Data!$O$1, IF(E13=Data!$E$2,Data!$P$1, IF(E13=Data!$E$3,Data!$Q$1)))</f>
        <v>0</v>
      </c>
      <c r="AZ13" s="121" t="b">
        <f>IF(L13=Data!$AJ$2,Data!$AK$1,IF(L13=Data!$AJ$3,Data!$AL$1,IF(L13=Data!$AJ$4,Data!$AM$1,IF(L13=Data!$AJ$5,Data!$AN$1,IF(L13=Data!$AJ$6,Data!$AO$1, IF(L13=Data!$AJ$7,Data!$AP$1,IF(L13=Data!$AJ$8,Data!$AQ$1)))))))</f>
        <v>0</v>
      </c>
      <c r="BA13" s="121" t="b">
        <f>IF(L13=Data!$BO$1,Data!$BP$1, IF(L13=Data!$BO$2,Data!$BQ$1, IF(L13=Data!$BO$3,Data!$BR$1, IF(L13=Data!$BO$4,Data!$BS$1, IF(L13=Data!$BO$5,Data!$BT$1)))))</f>
        <v>0</v>
      </c>
      <c r="BB13" s="122">
        <f t="shared" si="3"/>
        <v>0</v>
      </c>
      <c r="BC13" s="122" t="e">
        <f>VLOOKUP(M13,Data!$AY$2:$AZ$120,2,FALSE)</f>
        <v>#N/A</v>
      </c>
      <c r="BD13" s="122" t="e">
        <f t="shared" si="4"/>
        <v>#N/A</v>
      </c>
      <c r="BE13" s="130" t="str">
        <f>IF(OR(AND(P13="",O13&lt;&gt;"")),VLOOKUP(O13,Data!$BC$2:$BD$6,2,FALSE),"")</f>
        <v/>
      </c>
      <c r="BF13" s="130" t="str">
        <f>IF(OR(AND(Q13="",O13&lt;&gt;"")),VLOOKUP(O13,Data!$BC$2:$BD$6,2,FALSE),"")</f>
        <v/>
      </c>
      <c r="BG13" s="130" t="str">
        <f>IF(OR(AND(R13="",O13&lt;&gt;"")),VLOOKUP(O13,Data!$BC$2:$BD$6,2,FALSE),"")</f>
        <v/>
      </c>
      <c r="BH13" s="130" t="str">
        <f>IF(OR(AND(S13="",O13&lt;&gt;"")),VLOOKUP(O13,Data!$BC$2:$BD$6,2,FALSE),"")</f>
        <v/>
      </c>
      <c r="BI13" s="132" t="b">
        <f>IF(L13=Data!$BF$2,Data!$BG$1, IF(L13=Data!$BF$3,Data!$BH$1, IF(L13=Data!$BF$4,Data!$BI$1, IF(L13=Data!$BF$5,Data!$BJ$1, IF(L13=Data!$BF$6,Data!$BK$1)))))</f>
        <v>0</v>
      </c>
      <c r="BJ13" s="132" t="str">
        <f>IF(OR(AND(D13&lt;830, Y13=Data!$BM$1)),"Yes","No")</f>
        <v>No</v>
      </c>
      <c r="BK13" s="132" t="e">
        <f>VLOOKUP(L13,Data!$BZ$1:$CA$5,2,FALSE)</f>
        <v>#N/A</v>
      </c>
      <c r="BL13" s="132" t="e">
        <f t="shared" si="5"/>
        <v>#DIV/0!</v>
      </c>
      <c r="BM13" s="132" t="e">
        <f t="shared" si="15"/>
        <v>#N/A</v>
      </c>
      <c r="BN13" s="132" t="e">
        <f t="shared" si="16"/>
        <v>#N/A</v>
      </c>
      <c r="BO13" s="188" t="str">
        <f>IF(SUM(--ISNUMBER( SEARCH({"t","T"},M13))),"Yes","No")</f>
        <v>No</v>
      </c>
      <c r="BP13" s="188" t="e">
        <f>VLOOKUP(T13,Data!$CL$2:$CO$9,2,FALSE)</f>
        <v>#N/A</v>
      </c>
      <c r="BQ13" s="188" t="e">
        <f>VLOOKUP(T13,Data!$CL$2:$CO$9,3,FALSE)</f>
        <v>#N/A</v>
      </c>
      <c r="BR13" s="188" t="e">
        <f>VLOOKUP(T13,Data!$CL$2:$CO$9,4,FALSE)</f>
        <v>#N/A</v>
      </c>
      <c r="BS13" s="132" t="e">
        <f t="shared" si="17"/>
        <v>#N/A</v>
      </c>
      <c r="BT13" s="132" t="e">
        <f t="shared" si="18"/>
        <v>#N/A</v>
      </c>
      <c r="BU13" s="132" t="e">
        <f t="shared" si="19"/>
        <v>#N/A</v>
      </c>
      <c r="BV13" s="132" t="str">
        <f t="shared" si="20"/>
        <v/>
      </c>
      <c r="BW13" s="132" t="str">
        <f t="shared" si="21"/>
        <v>No</v>
      </c>
      <c r="BX13" s="132" t="str">
        <f t="shared" si="22"/>
        <v>No</v>
      </c>
      <c r="BY13" s="132" t="str">
        <f t="shared" si="6"/>
        <v>No</v>
      </c>
      <c r="BZ13" s="7" t="s">
        <v>33</v>
      </c>
      <c r="CD13" s="7" t="s">
        <v>359</v>
      </c>
      <c r="CE13" s="7" t="s">
        <v>45</v>
      </c>
      <c r="CF13" s="7" t="b">
        <f t="shared" si="34"/>
        <v>0</v>
      </c>
      <c r="CK13" s="7" t="s">
        <v>451</v>
      </c>
      <c r="CL13" s="7" t="str">
        <f>$EQ$8</f>
        <v>Shaped</v>
      </c>
      <c r="CR13" s="7" t="e">
        <f t="shared" si="23"/>
        <v>#N/A</v>
      </c>
      <c r="CS13" s="7" t="e">
        <f t="shared" si="24"/>
        <v>#N/A</v>
      </c>
      <c r="CT13" s="7" t="e">
        <f t="shared" si="25"/>
        <v>#N/A</v>
      </c>
      <c r="CU13" s="7" t="s">
        <v>45</v>
      </c>
      <c r="CV13" s="7" t="s">
        <v>30</v>
      </c>
      <c r="CW13" s="7" t="str">
        <f>$CZ$8</f>
        <v>HingeColourNo</v>
      </c>
      <c r="CX13" s="7" t="str">
        <f>DE8</f>
        <v>SlidingFrames</v>
      </c>
      <c r="DB13" s="7" t="e">
        <f t="shared" si="7"/>
        <v>#N/A</v>
      </c>
      <c r="DH13" s="7" t="e">
        <f t="shared" si="8"/>
        <v>#N/A</v>
      </c>
      <c r="DI13" s="7" t="s">
        <v>393</v>
      </c>
      <c r="DJ13" s="7" t="str">
        <f>DP8</f>
        <v>SlidingFramesLeftRight</v>
      </c>
      <c r="DK13" s="7" t="str">
        <f>DV8</f>
        <v>SliidingBottomFrame</v>
      </c>
      <c r="DL13" s="7" t="str">
        <f>DU8</f>
        <v>SlidingTopFrame</v>
      </c>
      <c r="DS13" s="7" t="e">
        <f t="shared" si="10"/>
        <v>#N/A</v>
      </c>
      <c r="DW13" s="7" t="e">
        <f t="shared" si="11"/>
        <v>#N/A</v>
      </c>
      <c r="DX13" s="7" t="e">
        <f t="shared" si="12"/>
        <v>#N/A</v>
      </c>
      <c r="DZ13" s="7" t="str">
        <f t="shared" si="26"/>
        <v>EcoExternalAluminiumColour</v>
      </c>
      <c r="EB13" s="7" t="s">
        <v>510</v>
      </c>
      <c r="EF13" s="7" t="s">
        <v>33</v>
      </c>
      <c r="EG13" s="7">
        <v>0</v>
      </c>
      <c r="EH13" s="7">
        <f t="shared" si="27"/>
        <v>0</v>
      </c>
      <c r="EI13" s="7">
        <f>IF(T13="",0, VLOOKUP(M13,Data!$AY$3:$BA$120,3,FALSE))</f>
        <v>0</v>
      </c>
      <c r="EJ13" s="7">
        <f t="shared" si="28"/>
        <v>0</v>
      </c>
      <c r="EP13" s="7" t="e">
        <f t="shared" si="29"/>
        <v>#N/A</v>
      </c>
      <c r="ES13" s="7" t="e">
        <f t="shared" si="30"/>
        <v>#N/A</v>
      </c>
      <c r="FA13" s="7" t="e">
        <f t="shared" si="31"/>
        <v>#N/A</v>
      </c>
      <c r="FB13" s="7" t="e">
        <f t="shared" si="32"/>
        <v>#N/A</v>
      </c>
      <c r="FC13" s="7" t="e">
        <f t="shared" si="33"/>
        <v>#N/A</v>
      </c>
    </row>
    <row r="14" spans="1:159" ht="26.25" customHeight="1" x14ac:dyDescent="0.2">
      <c r="A14" s="14">
        <v>6</v>
      </c>
      <c r="B14" s="253"/>
      <c r="C14" s="260"/>
      <c r="D14" s="253"/>
      <c r="E14" s="254"/>
      <c r="F14" s="242"/>
      <c r="G14" s="242"/>
      <c r="H14" s="254"/>
      <c r="I14" s="254"/>
      <c r="J14" s="255"/>
      <c r="K14" s="255"/>
      <c r="L14" s="256"/>
      <c r="M14" s="255"/>
      <c r="N14" s="257"/>
      <c r="O14" s="257"/>
      <c r="P14" s="258"/>
      <c r="Q14" s="258"/>
      <c r="R14" s="258"/>
      <c r="S14" s="258"/>
      <c r="T14" s="258"/>
      <c r="U14" s="254"/>
      <c r="V14" s="254"/>
      <c r="W14" s="254"/>
      <c r="X14" s="250"/>
      <c r="Y14" s="257"/>
      <c r="Z14" s="263"/>
      <c r="AA14" s="262" t="str">
        <f t="shared" si="0"/>
        <v/>
      </c>
      <c r="AE14" s="198"/>
      <c r="AH14" s="7" t="str">
        <f t="shared" si="13"/>
        <v>AluminiumProductInOut</v>
      </c>
      <c r="AK14" s="7" t="e">
        <f t="shared" si="14"/>
        <v>#N/A</v>
      </c>
      <c r="AL14" s="7" t="e">
        <f t="shared" si="1"/>
        <v>#N/A</v>
      </c>
      <c r="AO14" s="7" t="s">
        <v>360</v>
      </c>
      <c r="AP14" s="7" t="str">
        <f>$AM$8</f>
        <v>FlushBoltYes</v>
      </c>
      <c r="AQ14" s="7" t="str">
        <f>$AS$8</f>
        <v>FlushBoltBiFoldSlinding</v>
      </c>
      <c r="AT14" s="7" t="e">
        <f t="shared" si="2"/>
        <v>#N/A</v>
      </c>
      <c r="AU14" s="7" t="b">
        <f>IF(L14=Data!$CD$1,Data!$CF$1, IF(L14=Data!$CD$2,Data!$CG$1,IF(L14=Data!$CD$3,Data!$CH$1,IF(L14=Data!$CD$4,Data!$CI$1,IF(L14=Data!$CD$5,Data!$CJ$1)))))</f>
        <v>0</v>
      </c>
      <c r="AV14" s="121" t="b">
        <f>IF(E14=Data!$E$1,Data!$A$1,IF('Eco Aluminium External Shutters'!E14=Data!$E$2,Data!$B$1,IF('Eco Aluminium External Shutters'!E14=Data!$E$3,Data!$C$1)))</f>
        <v>0</v>
      </c>
      <c r="AW14" s="121" t="b">
        <f>IF(E14=Data!$E$1,Data!$G$1, IF(E14=Data!$E$2,Data!$H$1, IF(E14=Data!$E$3,Data!$I$1)))</f>
        <v>0</v>
      </c>
      <c r="AX14" s="121" t="b">
        <f>IF(E14=Data!$E$1,Data!$K$1,IF(E14=Data!$E$2,Data!$L$1, IF(E14=Data!$E$3,Data!$M$1)))</f>
        <v>0</v>
      </c>
      <c r="AY14" s="121" t="b">
        <f>IF(E14=Data!$E$1,Data!$O$1, IF(E14=Data!$E$2,Data!$P$1, IF(E14=Data!$E$3,Data!$Q$1)))</f>
        <v>0</v>
      </c>
      <c r="AZ14" s="121" t="b">
        <f>IF(L14=Data!$AJ$2,Data!$AK$1,IF(L14=Data!$AJ$3,Data!$AL$1,IF(L14=Data!$AJ$4,Data!$AM$1,IF(L14=Data!$AJ$5,Data!$AN$1,IF(L14=Data!$AJ$6,Data!$AO$1, IF(L14=Data!$AJ$7,Data!$AP$1,IF(L14=Data!$AJ$8,Data!$AQ$1)))))))</f>
        <v>0</v>
      </c>
      <c r="BA14" s="121" t="b">
        <f>IF(L14=Data!$BO$1,Data!$BP$1, IF(L14=Data!$BO$2,Data!$BQ$1, IF(L14=Data!$BO$3,Data!$BR$1, IF(L14=Data!$BO$4,Data!$BS$1, IF(L14=Data!$BO$5,Data!$BT$1)))))</f>
        <v>0</v>
      </c>
      <c r="BB14" s="122">
        <f t="shared" si="3"/>
        <v>0</v>
      </c>
      <c r="BC14" s="122" t="e">
        <f>VLOOKUP(M14,Data!$AY$2:$AZ$120,2,FALSE)</f>
        <v>#N/A</v>
      </c>
      <c r="BD14" s="122" t="e">
        <f t="shared" si="4"/>
        <v>#N/A</v>
      </c>
      <c r="BE14" s="130" t="str">
        <f>IF(OR(AND(P14="",O14&lt;&gt;"")),VLOOKUP(O14,Data!$BC$2:$BD$6,2,FALSE),"")</f>
        <v/>
      </c>
      <c r="BF14" s="130" t="str">
        <f>IF(OR(AND(Q14="",O14&lt;&gt;"")),VLOOKUP(O14,Data!$BC$2:$BD$6,2,FALSE),"")</f>
        <v/>
      </c>
      <c r="BG14" s="130" t="str">
        <f>IF(OR(AND(R14="",O14&lt;&gt;"")),VLOOKUP(O14,Data!$BC$2:$BD$6,2,FALSE),"")</f>
        <v/>
      </c>
      <c r="BH14" s="130" t="str">
        <f>IF(OR(AND(S14="",O14&lt;&gt;"")),VLOOKUP(O14,Data!$BC$2:$BD$6,2,FALSE),"")</f>
        <v/>
      </c>
      <c r="BI14" s="132" t="b">
        <f>IF(L14=Data!$BF$2,Data!$BG$1, IF(L14=Data!$BF$3,Data!$BH$1, IF(L14=Data!$BF$4,Data!$BI$1, IF(L14=Data!$BF$5,Data!$BJ$1, IF(L14=Data!$BF$6,Data!$BK$1)))))</f>
        <v>0</v>
      </c>
      <c r="BJ14" s="132" t="str">
        <f>IF(OR(AND(D14&lt;830, Y14=Data!$BM$1)),"Yes","No")</f>
        <v>No</v>
      </c>
      <c r="BK14" s="132" t="e">
        <f>VLOOKUP(L14,Data!$BZ$1:$CA$5,2,FALSE)</f>
        <v>#N/A</v>
      </c>
      <c r="BL14" s="132" t="e">
        <f t="shared" si="5"/>
        <v>#DIV/0!</v>
      </c>
      <c r="BM14" s="132" t="e">
        <f t="shared" si="15"/>
        <v>#N/A</v>
      </c>
      <c r="BN14" s="132" t="e">
        <f t="shared" si="16"/>
        <v>#N/A</v>
      </c>
      <c r="BO14" s="188" t="str">
        <f>IF(SUM(--ISNUMBER( SEARCH({"t","T"},M14))),"Yes","No")</f>
        <v>No</v>
      </c>
      <c r="BP14" s="188" t="e">
        <f>VLOOKUP(T14,Data!$CL$2:$CO$9,2,FALSE)</f>
        <v>#N/A</v>
      </c>
      <c r="BQ14" s="188" t="e">
        <f>VLOOKUP(T14,Data!$CL$2:$CO$9,3,FALSE)</f>
        <v>#N/A</v>
      </c>
      <c r="BR14" s="188" t="e">
        <f>VLOOKUP(T14,Data!$CL$2:$CO$9,4,FALSE)</f>
        <v>#N/A</v>
      </c>
      <c r="BS14" s="132" t="e">
        <f t="shared" si="17"/>
        <v>#N/A</v>
      </c>
      <c r="BT14" s="132" t="e">
        <f t="shared" si="18"/>
        <v>#N/A</v>
      </c>
      <c r="BU14" s="132" t="e">
        <f t="shared" si="19"/>
        <v>#N/A</v>
      </c>
      <c r="BV14" s="132" t="str">
        <f t="shared" si="20"/>
        <v/>
      </c>
      <c r="BW14" s="132" t="str">
        <f t="shared" si="21"/>
        <v>No</v>
      </c>
      <c r="BX14" s="132" t="str">
        <f t="shared" si="22"/>
        <v>No</v>
      </c>
      <c r="BY14" s="132" t="str">
        <f t="shared" si="6"/>
        <v>No</v>
      </c>
      <c r="BZ14" s="7" t="s">
        <v>35</v>
      </c>
      <c r="CD14" s="7" t="s">
        <v>45</v>
      </c>
      <c r="CE14" s="7" t="s">
        <v>360</v>
      </c>
      <c r="CF14" s="7" t="b">
        <f t="shared" si="34"/>
        <v>0</v>
      </c>
      <c r="CK14" s="7" t="s">
        <v>499</v>
      </c>
      <c r="CL14" s="7" t="str">
        <f>$ER$8</f>
        <v>NoShapes</v>
      </c>
      <c r="CR14" s="7" t="e">
        <f t="shared" si="23"/>
        <v>#N/A</v>
      </c>
      <c r="CS14" s="7" t="e">
        <f t="shared" si="24"/>
        <v>#N/A</v>
      </c>
      <c r="CT14" s="7" t="e">
        <f t="shared" si="25"/>
        <v>#N/A</v>
      </c>
      <c r="CU14" s="7" t="s">
        <v>26</v>
      </c>
      <c r="CV14" s="7" t="s">
        <v>30</v>
      </c>
      <c r="CW14" s="7" t="str">
        <f>$CZ$8</f>
        <v>HingeColourNo</v>
      </c>
      <c r="CX14" s="7" t="str">
        <f>$DY$8</f>
        <v>FrameNA</v>
      </c>
      <c r="DB14" s="7" t="e">
        <f t="shared" si="7"/>
        <v>#N/A</v>
      </c>
      <c r="DH14" s="7" t="e">
        <f t="shared" si="8"/>
        <v>#N/A</v>
      </c>
      <c r="DI14" s="7" t="s">
        <v>394</v>
      </c>
      <c r="DJ14" s="7" t="str">
        <f>DQ8</f>
        <v>BiFoldFramesLeftRight</v>
      </c>
      <c r="DK14" s="7" t="str">
        <f>DV8</f>
        <v>SliidingBottomFrame</v>
      </c>
      <c r="DL14" s="7" t="str">
        <f>DU8</f>
        <v>SlidingTopFrame</v>
      </c>
      <c r="DS14" s="7" t="e">
        <f t="shared" si="10"/>
        <v>#N/A</v>
      </c>
      <c r="DW14" s="7" t="e">
        <f t="shared" si="11"/>
        <v>#N/A</v>
      </c>
      <c r="DX14" s="7" t="e">
        <f t="shared" si="12"/>
        <v>#N/A</v>
      </c>
      <c r="DZ14" s="7" t="str">
        <f t="shared" si="26"/>
        <v>EcoExternalAluminiumColour</v>
      </c>
      <c r="EB14" s="7" t="s">
        <v>511</v>
      </c>
      <c r="EF14" s="7" t="s">
        <v>35</v>
      </c>
      <c r="EG14" s="7">
        <v>0</v>
      </c>
      <c r="EH14" s="7">
        <f t="shared" si="27"/>
        <v>0</v>
      </c>
      <c r="EI14" s="7">
        <f>IF(T14="",0, VLOOKUP(M14,Data!$AY$3:$BA$120,3,FALSE))</f>
        <v>0</v>
      </c>
      <c r="EJ14" s="7">
        <f t="shared" si="28"/>
        <v>0</v>
      </c>
      <c r="EP14" s="7" t="e">
        <f t="shared" si="29"/>
        <v>#N/A</v>
      </c>
      <c r="ES14" s="7" t="e">
        <f t="shared" si="30"/>
        <v>#N/A</v>
      </c>
      <c r="FA14" s="7" t="e">
        <f t="shared" si="31"/>
        <v>#N/A</v>
      </c>
      <c r="FB14" s="7" t="e">
        <f t="shared" si="32"/>
        <v>#N/A</v>
      </c>
      <c r="FC14" s="7" t="e">
        <f t="shared" si="33"/>
        <v>#N/A</v>
      </c>
    </row>
    <row r="15" spans="1:159" ht="26.25" customHeight="1" x14ac:dyDescent="0.2">
      <c r="A15" s="14">
        <v>7</v>
      </c>
      <c r="B15" s="253"/>
      <c r="C15" s="260"/>
      <c r="D15" s="253"/>
      <c r="E15" s="254"/>
      <c r="F15" s="242"/>
      <c r="G15" s="242"/>
      <c r="H15" s="254"/>
      <c r="I15" s="254"/>
      <c r="J15" s="255"/>
      <c r="K15" s="255"/>
      <c r="L15" s="256"/>
      <c r="M15" s="255"/>
      <c r="N15" s="257"/>
      <c r="O15" s="257"/>
      <c r="P15" s="258"/>
      <c r="Q15" s="258"/>
      <c r="R15" s="258"/>
      <c r="S15" s="258"/>
      <c r="T15" s="258"/>
      <c r="U15" s="254"/>
      <c r="V15" s="254"/>
      <c r="W15" s="254"/>
      <c r="X15" s="250"/>
      <c r="Y15" s="257"/>
      <c r="Z15" s="263"/>
      <c r="AA15" s="262" t="str">
        <f t="shared" si="0"/>
        <v/>
      </c>
      <c r="AE15" s="198"/>
      <c r="AH15" s="7" t="str">
        <f t="shared" si="13"/>
        <v>AluminiumProductInOut</v>
      </c>
      <c r="AK15" s="7" t="e">
        <f t="shared" si="14"/>
        <v>#N/A</v>
      </c>
      <c r="AL15" s="7" t="e">
        <f t="shared" si="1"/>
        <v>#N/A</v>
      </c>
      <c r="AT15" s="7" t="e">
        <f t="shared" si="2"/>
        <v>#N/A</v>
      </c>
      <c r="AU15" s="7" t="b">
        <f>IF(L15=Data!$CD$1,Data!$CF$1, IF(L15=Data!$CD$2,Data!$CG$1,IF(L15=Data!$CD$3,Data!$CH$1,IF(L15=Data!$CD$4,Data!$CI$1,IF(L15=Data!$CD$5,Data!$CJ$1)))))</f>
        <v>0</v>
      </c>
      <c r="AV15" s="121" t="b">
        <f>IF(E15=Data!$E$1,Data!$A$1,IF('Eco Aluminium External Shutters'!E15=Data!$E$2,Data!$B$1,IF('Eco Aluminium External Shutters'!E15=Data!$E$3,Data!$C$1)))</f>
        <v>0</v>
      </c>
      <c r="AW15" s="121" t="b">
        <f>IF(E15=Data!$E$1,Data!$G$1, IF(E15=Data!$E$2,Data!$H$1, IF(E15=Data!$E$3,Data!$I$1)))</f>
        <v>0</v>
      </c>
      <c r="AX15" s="121" t="b">
        <f>IF(E15=Data!$E$1,Data!$K$1,IF(E15=Data!$E$2,Data!$L$1, IF(E15=Data!$E$3,Data!$M$1)))</f>
        <v>0</v>
      </c>
      <c r="AY15" s="121" t="b">
        <f>IF(E15=Data!$E$1,Data!$O$1, IF(E15=Data!$E$2,Data!$P$1, IF(E15=Data!$E$3,Data!$Q$1)))</f>
        <v>0</v>
      </c>
      <c r="AZ15" s="121" t="b">
        <f>IF(L15=Data!$AJ$2,Data!$AK$1,IF(L15=Data!$AJ$3,Data!$AL$1,IF(L15=Data!$AJ$4,Data!$AM$1,IF(L15=Data!$AJ$5,Data!$AN$1,IF(L15=Data!$AJ$6,Data!$AO$1, IF(L15=Data!$AJ$7,Data!$AP$1,IF(L15=Data!$AJ$8,Data!$AQ$1)))))))</f>
        <v>0</v>
      </c>
      <c r="BA15" s="121" t="b">
        <f>IF(L15=Data!$BO$1,Data!$BP$1, IF(L15=Data!$BO$2,Data!$BQ$1, IF(L15=Data!$BO$3,Data!$BR$1, IF(L15=Data!$BO$4,Data!$BS$1, IF(L15=Data!$BO$5,Data!$BT$1)))))</f>
        <v>0</v>
      </c>
      <c r="BB15" s="122">
        <f t="shared" si="3"/>
        <v>0</v>
      </c>
      <c r="BC15" s="122" t="e">
        <f>VLOOKUP(M15,Data!$AY$2:$AZ$120,2,FALSE)</f>
        <v>#N/A</v>
      </c>
      <c r="BD15" s="122" t="e">
        <f t="shared" si="4"/>
        <v>#N/A</v>
      </c>
      <c r="BE15" s="130" t="str">
        <f>IF(OR(AND(P15="",O15&lt;&gt;"")),VLOOKUP(O15,Data!$BC$2:$BD$6,2,FALSE),"")</f>
        <v/>
      </c>
      <c r="BF15" s="130" t="str">
        <f>IF(OR(AND(Q15="",O15&lt;&gt;"")),VLOOKUP(O15,Data!$BC$2:$BD$6,2,FALSE),"")</f>
        <v/>
      </c>
      <c r="BG15" s="130" t="str">
        <f>IF(OR(AND(R15="",O15&lt;&gt;"")),VLOOKUP(O15,Data!$BC$2:$BD$6,2,FALSE),"")</f>
        <v/>
      </c>
      <c r="BH15" s="130" t="str">
        <f>IF(OR(AND(S15="",O15&lt;&gt;"")),VLOOKUP(O15,Data!$BC$2:$BD$6,2,FALSE),"")</f>
        <v/>
      </c>
      <c r="BI15" s="132" t="b">
        <f>IF(L15=Data!$BF$2,Data!$BG$1, IF(L15=Data!$BF$3,Data!$BH$1, IF(L15=Data!$BF$4,Data!$BI$1, IF(L15=Data!$BF$5,Data!$BJ$1, IF(L15=Data!$BF$6,Data!$BK$1)))))</f>
        <v>0</v>
      </c>
      <c r="BJ15" s="132" t="str">
        <f>IF(OR(AND(D15&lt;830, Y15=Data!$BM$1)),"Yes","No")</f>
        <v>No</v>
      </c>
      <c r="BK15" s="132" t="e">
        <f>VLOOKUP(L15,Data!$BZ$1:$CA$5,2,FALSE)</f>
        <v>#N/A</v>
      </c>
      <c r="BL15" s="132" t="e">
        <f t="shared" si="5"/>
        <v>#DIV/0!</v>
      </c>
      <c r="BM15" s="132" t="e">
        <f t="shared" si="15"/>
        <v>#N/A</v>
      </c>
      <c r="BN15" s="132" t="e">
        <f t="shared" si="16"/>
        <v>#N/A</v>
      </c>
      <c r="BO15" s="188" t="str">
        <f>IF(SUM(--ISNUMBER( SEARCH({"t","T"},M15))),"Yes","No")</f>
        <v>No</v>
      </c>
      <c r="BP15" s="188" t="e">
        <f>VLOOKUP(T15,Data!$CL$2:$CO$9,2,FALSE)</f>
        <v>#N/A</v>
      </c>
      <c r="BQ15" s="188" t="e">
        <f>VLOOKUP(T15,Data!$CL$2:$CO$9,3,FALSE)</f>
        <v>#N/A</v>
      </c>
      <c r="BR15" s="188" t="e">
        <f>VLOOKUP(T15,Data!$CL$2:$CO$9,4,FALSE)</f>
        <v>#N/A</v>
      </c>
      <c r="BS15" s="132" t="e">
        <f t="shared" si="17"/>
        <v>#N/A</v>
      </c>
      <c r="BT15" s="132" t="e">
        <f t="shared" si="18"/>
        <v>#N/A</v>
      </c>
      <c r="BU15" s="132" t="e">
        <f t="shared" si="19"/>
        <v>#N/A</v>
      </c>
      <c r="BV15" s="132" t="str">
        <f t="shared" si="20"/>
        <v/>
      </c>
      <c r="BW15" s="132" t="str">
        <f t="shared" si="21"/>
        <v>No</v>
      </c>
      <c r="BX15" s="132" t="str">
        <f t="shared" si="22"/>
        <v>No</v>
      </c>
      <c r="BY15" s="132" t="str">
        <f t="shared" si="6"/>
        <v>No</v>
      </c>
      <c r="CD15" s="7" t="s">
        <v>360</v>
      </c>
      <c r="CF15" s="7" t="b">
        <f t="shared" si="34"/>
        <v>0</v>
      </c>
      <c r="CK15" s="7" t="s">
        <v>383</v>
      </c>
      <c r="CL15" s="7" t="str">
        <f>$EQ$8</f>
        <v>Shaped</v>
      </c>
      <c r="CR15" s="7" t="e">
        <f t="shared" si="23"/>
        <v>#N/A</v>
      </c>
      <c r="CS15" s="7" t="e">
        <f t="shared" si="24"/>
        <v>#N/A</v>
      </c>
      <c r="CT15" s="7" t="e">
        <f t="shared" si="25"/>
        <v>#N/A</v>
      </c>
      <c r="CU15" s="7" t="s">
        <v>360</v>
      </c>
      <c r="CV15" s="7" t="s">
        <v>19</v>
      </c>
      <c r="CW15" s="7" t="str">
        <f>$CY$8</f>
        <v>HingeColourYes</v>
      </c>
      <c r="CX15" s="7" t="str">
        <f>DF8</f>
        <v>BiFoldFrames</v>
      </c>
      <c r="DB15" s="7" t="e">
        <f t="shared" si="7"/>
        <v>#N/A</v>
      </c>
      <c r="DH15" s="7" t="e">
        <f t="shared" si="8"/>
        <v>#N/A</v>
      </c>
      <c r="DI15" s="7" t="s">
        <v>26</v>
      </c>
      <c r="DJ15" s="7" t="str">
        <f>$DY$8</f>
        <v>FrameNA</v>
      </c>
      <c r="DK15" s="7" t="str">
        <f>$DY$8</f>
        <v>FrameNA</v>
      </c>
      <c r="DL15" s="7" t="str">
        <f>$DY$8</f>
        <v>FrameNA</v>
      </c>
      <c r="DS15" s="7" t="e">
        <f t="shared" si="10"/>
        <v>#N/A</v>
      </c>
      <c r="DW15" s="7" t="e">
        <f t="shared" si="11"/>
        <v>#N/A</v>
      </c>
      <c r="DX15" s="7" t="e">
        <f t="shared" si="12"/>
        <v>#N/A</v>
      </c>
      <c r="DZ15" s="7" t="str">
        <f t="shared" si="26"/>
        <v>EcoExternalAluminiumColour</v>
      </c>
      <c r="EB15" s="7" t="s">
        <v>512</v>
      </c>
      <c r="EI15" s="7">
        <f>IF(T15="",0, VLOOKUP(M15,Data!$AY$3:$BA$120,3,FALSE))</f>
        <v>0</v>
      </c>
      <c r="EJ15" s="7">
        <f t="shared" si="28"/>
        <v>0</v>
      </c>
      <c r="EP15" s="7" t="e">
        <f t="shared" si="29"/>
        <v>#N/A</v>
      </c>
      <c r="ES15" s="7" t="e">
        <f t="shared" si="30"/>
        <v>#N/A</v>
      </c>
      <c r="FA15" s="7" t="e">
        <f t="shared" si="31"/>
        <v>#N/A</v>
      </c>
      <c r="FB15" s="7" t="e">
        <f t="shared" si="32"/>
        <v>#N/A</v>
      </c>
      <c r="FC15" s="7" t="e">
        <f t="shared" si="33"/>
        <v>#N/A</v>
      </c>
    </row>
    <row r="16" spans="1:159" ht="26.25" customHeight="1" x14ac:dyDescent="0.2">
      <c r="A16" s="14">
        <v>8</v>
      </c>
      <c r="B16" s="253"/>
      <c r="C16" s="260"/>
      <c r="D16" s="253"/>
      <c r="E16" s="254"/>
      <c r="F16" s="242"/>
      <c r="G16" s="242"/>
      <c r="H16" s="254"/>
      <c r="I16" s="254"/>
      <c r="J16" s="255"/>
      <c r="K16" s="255"/>
      <c r="L16" s="256"/>
      <c r="M16" s="255"/>
      <c r="N16" s="257"/>
      <c r="O16" s="257"/>
      <c r="P16" s="258"/>
      <c r="Q16" s="258"/>
      <c r="R16" s="258"/>
      <c r="S16" s="258"/>
      <c r="T16" s="258"/>
      <c r="U16" s="254"/>
      <c r="V16" s="254"/>
      <c r="W16" s="254"/>
      <c r="X16" s="250"/>
      <c r="Y16" s="257"/>
      <c r="Z16" s="263"/>
      <c r="AA16" s="262" t="str">
        <f t="shared" si="0"/>
        <v/>
      </c>
      <c r="AE16" s="198"/>
      <c r="AH16" s="7" t="str">
        <f t="shared" si="13"/>
        <v>AluminiumProductInOut</v>
      </c>
      <c r="AK16" s="7" t="e">
        <f t="shared" si="14"/>
        <v>#N/A</v>
      </c>
      <c r="AL16" s="7" t="e">
        <f t="shared" si="1"/>
        <v>#N/A</v>
      </c>
      <c r="AT16" s="7" t="e">
        <f t="shared" si="2"/>
        <v>#N/A</v>
      </c>
      <c r="AU16" s="7" t="b">
        <f>IF(L16=Data!$CD$1,Data!$CF$1, IF(L16=Data!$CD$2,Data!$CG$1,IF(L16=Data!$CD$3,Data!$CH$1,IF(L16=Data!$CD$4,Data!$CI$1,IF(L16=Data!$CD$5,Data!$CJ$1)))))</f>
        <v>0</v>
      </c>
      <c r="AV16" s="121" t="b">
        <f>IF(E16=Data!$E$1,Data!$A$1,IF('Eco Aluminium External Shutters'!E16=Data!$E$2,Data!$B$1,IF('Eco Aluminium External Shutters'!E16=Data!$E$3,Data!$C$1)))</f>
        <v>0</v>
      </c>
      <c r="AW16" s="121" t="b">
        <f>IF(E16=Data!$E$1,Data!$G$1, IF(E16=Data!$E$2,Data!$H$1, IF(E16=Data!$E$3,Data!$I$1)))</f>
        <v>0</v>
      </c>
      <c r="AX16" s="121" t="b">
        <f>IF(E16=Data!$E$1,Data!$K$1,IF(E16=Data!$E$2,Data!$L$1, IF(E16=Data!$E$3,Data!$M$1)))</f>
        <v>0</v>
      </c>
      <c r="AY16" s="121" t="b">
        <f>IF(E16=Data!$E$1,Data!$O$1, IF(E16=Data!$E$2,Data!$P$1, IF(E16=Data!$E$3,Data!$Q$1)))</f>
        <v>0</v>
      </c>
      <c r="AZ16" s="121" t="b">
        <f>IF(L16=Data!$AJ$2,Data!$AK$1,IF(L16=Data!$AJ$3,Data!$AL$1,IF(L16=Data!$AJ$4,Data!$AM$1,IF(L16=Data!$AJ$5,Data!$AN$1,IF(L16=Data!$AJ$6,Data!$AO$1, IF(L16=Data!$AJ$7,Data!$AP$1,IF(L16=Data!$AJ$8,Data!$AQ$1)))))))</f>
        <v>0</v>
      </c>
      <c r="BA16" s="121" t="b">
        <f>IF(L16=Data!$BO$1,Data!$BP$1, IF(L16=Data!$BO$2,Data!$BQ$1, IF(L16=Data!$BO$3,Data!$BR$1, IF(L16=Data!$BO$4,Data!$BS$1, IF(L16=Data!$BO$5,Data!$BT$1)))))</f>
        <v>0</v>
      </c>
      <c r="BB16" s="122">
        <f t="shared" si="3"/>
        <v>0</v>
      </c>
      <c r="BC16" s="122" t="e">
        <f>VLOOKUP(M16,Data!$AY$2:$AZ$120,2,FALSE)</f>
        <v>#N/A</v>
      </c>
      <c r="BD16" s="122" t="e">
        <f t="shared" si="4"/>
        <v>#N/A</v>
      </c>
      <c r="BE16" s="130" t="str">
        <f>IF(OR(AND(P16="",O16&lt;&gt;"")),VLOOKUP(O16,Data!$BC$2:$BD$6,2,FALSE),"")</f>
        <v/>
      </c>
      <c r="BF16" s="130" t="str">
        <f>IF(OR(AND(Q16="",O16&lt;&gt;"")),VLOOKUP(O16,Data!$BC$2:$BD$6,2,FALSE),"")</f>
        <v/>
      </c>
      <c r="BG16" s="130" t="str">
        <f>IF(OR(AND(R16="",O16&lt;&gt;"")),VLOOKUP(O16,Data!$BC$2:$BD$6,2,FALSE),"")</f>
        <v/>
      </c>
      <c r="BH16" s="130" t="str">
        <f>IF(OR(AND(S16="",O16&lt;&gt;"")),VLOOKUP(O16,Data!$BC$2:$BD$6,2,FALSE),"")</f>
        <v/>
      </c>
      <c r="BI16" s="132" t="b">
        <f>IF(L16=Data!$BF$2,Data!$BG$1, IF(L16=Data!$BF$3,Data!$BH$1, IF(L16=Data!$BF$4,Data!$BI$1, IF(L16=Data!$BF$5,Data!$BJ$1, IF(L16=Data!$BF$6,Data!$BK$1)))))</f>
        <v>0</v>
      </c>
      <c r="BJ16" s="132" t="str">
        <f>IF(OR(AND(D16&lt;830, Y16=Data!$BM$1)),"Yes","No")</f>
        <v>No</v>
      </c>
      <c r="BK16" s="132" t="e">
        <f>VLOOKUP(L16,Data!$BZ$1:$CA$5,2,FALSE)</f>
        <v>#N/A</v>
      </c>
      <c r="BL16" s="132" t="e">
        <f t="shared" si="5"/>
        <v>#DIV/0!</v>
      </c>
      <c r="BM16" s="132" t="e">
        <f t="shared" si="15"/>
        <v>#N/A</v>
      </c>
      <c r="BN16" s="132" t="e">
        <f t="shared" si="16"/>
        <v>#N/A</v>
      </c>
      <c r="BO16" s="188" t="str">
        <f>IF(SUM(--ISNUMBER( SEARCH({"t","T"},M16))),"Yes","No")</f>
        <v>No</v>
      </c>
      <c r="BP16" s="188" t="e">
        <f>VLOOKUP(T16,Data!$CL$2:$CO$9,2,FALSE)</f>
        <v>#N/A</v>
      </c>
      <c r="BQ16" s="188" t="e">
        <f>VLOOKUP(T16,Data!$CL$2:$CO$9,3,FALSE)</f>
        <v>#N/A</v>
      </c>
      <c r="BR16" s="188" t="e">
        <f>VLOOKUP(T16,Data!$CL$2:$CO$9,4,FALSE)</f>
        <v>#N/A</v>
      </c>
      <c r="BS16" s="132" t="e">
        <f t="shared" si="17"/>
        <v>#N/A</v>
      </c>
      <c r="BT16" s="132" t="e">
        <f t="shared" si="18"/>
        <v>#N/A</v>
      </c>
      <c r="BU16" s="132" t="e">
        <f t="shared" si="19"/>
        <v>#N/A</v>
      </c>
      <c r="BV16" s="132" t="str">
        <f t="shared" si="20"/>
        <v/>
      </c>
      <c r="BW16" s="132" t="str">
        <f t="shared" si="21"/>
        <v>No</v>
      </c>
      <c r="BX16" s="132" t="str">
        <f t="shared" si="22"/>
        <v>No</v>
      </c>
      <c r="BY16" s="132" t="str">
        <f t="shared" si="6"/>
        <v>No</v>
      </c>
      <c r="CF16" s="7" t="b">
        <f t="shared" si="34"/>
        <v>0</v>
      </c>
      <c r="CK16" s="7" t="s">
        <v>544</v>
      </c>
      <c r="CL16" s="7" t="str">
        <f>$ER$8</f>
        <v>NoShapes</v>
      </c>
      <c r="CR16" s="7" t="e">
        <f t="shared" si="23"/>
        <v>#N/A</v>
      </c>
      <c r="CS16" s="7" t="e">
        <f t="shared" si="24"/>
        <v>#N/A</v>
      </c>
      <c r="CT16" s="7" t="e">
        <f t="shared" si="25"/>
        <v>#N/A</v>
      </c>
      <c r="DB16" s="7" t="e">
        <f t="shared" si="7"/>
        <v>#N/A</v>
      </c>
      <c r="DH16" s="7" t="e">
        <f t="shared" si="8"/>
        <v>#N/A</v>
      </c>
      <c r="DI16" s="7" t="s">
        <v>395</v>
      </c>
      <c r="DJ16" s="7" t="str">
        <f>DR8</f>
        <v>PanelOnly</v>
      </c>
      <c r="DK16" s="7" t="str">
        <f>$DR$8</f>
        <v>PanelOnly</v>
      </c>
      <c r="DL16" s="7" t="str">
        <f>$DR$8</f>
        <v>PanelOnly</v>
      </c>
      <c r="DS16" s="7" t="e">
        <f t="shared" si="10"/>
        <v>#N/A</v>
      </c>
      <c r="DW16" s="7" t="e">
        <f t="shared" si="11"/>
        <v>#N/A</v>
      </c>
      <c r="DX16" s="7" t="e">
        <f t="shared" si="12"/>
        <v>#N/A</v>
      </c>
      <c r="DZ16" s="7" t="str">
        <f t="shared" si="26"/>
        <v>EcoExternalAluminiumColour</v>
      </c>
      <c r="EB16" s="7" t="s">
        <v>513</v>
      </c>
      <c r="EI16" s="7">
        <f>IF(T16="",0, VLOOKUP(M16,Data!$AY$3:$BA$120,3,FALSE))</f>
        <v>0</v>
      </c>
      <c r="EJ16" s="7">
        <f t="shared" si="28"/>
        <v>0</v>
      </c>
      <c r="EP16" s="7" t="e">
        <f t="shared" si="29"/>
        <v>#N/A</v>
      </c>
      <c r="ES16" s="7" t="e">
        <f t="shared" si="30"/>
        <v>#N/A</v>
      </c>
      <c r="FA16" s="7" t="e">
        <f t="shared" si="31"/>
        <v>#N/A</v>
      </c>
      <c r="FB16" s="7" t="e">
        <f t="shared" si="32"/>
        <v>#N/A</v>
      </c>
      <c r="FC16" s="7" t="e">
        <f t="shared" si="33"/>
        <v>#N/A</v>
      </c>
    </row>
    <row r="17" spans="1:159" ht="26.25" customHeight="1" x14ac:dyDescent="0.2">
      <c r="A17" s="14">
        <v>9</v>
      </c>
      <c r="B17" s="253"/>
      <c r="C17" s="260"/>
      <c r="D17" s="253"/>
      <c r="E17" s="254"/>
      <c r="F17" s="242"/>
      <c r="G17" s="242"/>
      <c r="H17" s="254"/>
      <c r="I17" s="254"/>
      <c r="J17" s="255"/>
      <c r="K17" s="255"/>
      <c r="L17" s="256"/>
      <c r="M17" s="255"/>
      <c r="N17" s="257"/>
      <c r="O17" s="257"/>
      <c r="P17" s="258"/>
      <c r="Q17" s="258"/>
      <c r="R17" s="258"/>
      <c r="S17" s="258"/>
      <c r="T17" s="258"/>
      <c r="U17" s="254"/>
      <c r="V17" s="254"/>
      <c r="W17" s="254"/>
      <c r="X17" s="250"/>
      <c r="Y17" s="257"/>
      <c r="Z17" s="263"/>
      <c r="AA17" s="262"/>
      <c r="AE17" s="198"/>
      <c r="AH17" s="7" t="str">
        <f t="shared" si="13"/>
        <v>AluminiumProductInOut</v>
      </c>
      <c r="AK17" s="7" t="e">
        <f t="shared" si="14"/>
        <v>#N/A</v>
      </c>
      <c r="AL17" s="7" t="e">
        <f t="shared" si="1"/>
        <v>#N/A</v>
      </c>
      <c r="AT17" s="7" t="e">
        <f t="shared" si="2"/>
        <v>#N/A</v>
      </c>
      <c r="AU17" s="7" t="b">
        <f>IF(L17=Data!$CD$1,Data!$CF$1, IF(L17=Data!$CD$2,Data!$CG$1,IF(L17=Data!$CD$3,Data!$CH$1,IF(L17=Data!$CD$4,Data!$CI$1,IF(L17=Data!$CD$5,Data!$CJ$1)))))</f>
        <v>0</v>
      </c>
      <c r="AV17" s="121" t="b">
        <f>IF(E17=Data!$E$1,Data!$A$1,IF('Eco Aluminium External Shutters'!E17=Data!$E$2,Data!$B$1,IF('Eco Aluminium External Shutters'!E17=Data!$E$3,Data!$C$1)))</f>
        <v>0</v>
      </c>
      <c r="AW17" s="121" t="b">
        <f>IF(E17=Data!$E$1,Data!$G$1, IF(E17=Data!$E$2,Data!$H$1, IF(E17=Data!$E$3,Data!$I$1)))</f>
        <v>0</v>
      </c>
      <c r="AX17" s="121" t="b">
        <f>IF(E17=Data!$E$1,Data!$K$1,IF(E17=Data!$E$2,Data!$L$1, IF(E17=Data!$E$3,Data!$M$1)))</f>
        <v>0</v>
      </c>
      <c r="AY17" s="121" t="b">
        <f>IF(E17=Data!$E$1,Data!$O$1, IF(E17=Data!$E$2,Data!$P$1, IF(E17=Data!$E$3,Data!$Q$1)))</f>
        <v>0</v>
      </c>
      <c r="AZ17" s="121" t="b">
        <f>IF(L17=Data!$AJ$2,Data!$AK$1,IF(L17=Data!$AJ$3,Data!$AL$1,IF(L17=Data!$AJ$4,Data!$AM$1,IF(L17=Data!$AJ$5,Data!$AN$1,IF(L17=Data!$AJ$6,Data!$AO$1, IF(L17=Data!$AJ$7,Data!$AP$1,IF(L17=Data!$AJ$8,Data!$AQ$1)))))))</f>
        <v>0</v>
      </c>
      <c r="BA17" s="121" t="b">
        <f>IF(L17=Data!$BO$1,Data!$BP$1, IF(L17=Data!$BO$2,Data!$BQ$1, IF(L17=Data!$BO$3,Data!$BR$1, IF(L17=Data!$BO$4,Data!$BS$1, IF(L17=Data!$BO$5,Data!$BT$1)))))</f>
        <v>0</v>
      </c>
      <c r="BB17" s="122">
        <f t="shared" ref="BB17:BB23" si="35">LEN(M17)</f>
        <v>0</v>
      </c>
      <c r="BC17" s="122" t="e">
        <f>VLOOKUP(M17,Data!$AY$2:$AZ$120,2,FALSE)</f>
        <v>#N/A</v>
      </c>
      <c r="BD17" s="122" t="e">
        <f t="shared" ref="BD17:BD23" si="36">IF(F17&lt;&gt;BC17,"Failed","Passed")</f>
        <v>#N/A</v>
      </c>
      <c r="BE17" s="130" t="str">
        <f>IF(OR(AND(P17="",O17&lt;&gt;"")),VLOOKUP(O17,Data!$BC$2:$BD$6,2,FALSE),"")</f>
        <v/>
      </c>
      <c r="BF17" s="130" t="str">
        <f>IF(OR(AND(Q17="",O17&lt;&gt;"")),VLOOKUP(O17,Data!$BC$2:$BD$6,2,FALSE),"")</f>
        <v/>
      </c>
      <c r="BG17" s="130" t="str">
        <f>IF(OR(AND(R17="",O17&lt;&gt;"")),VLOOKUP(O17,Data!$BC$2:$BD$6,2,FALSE),"")</f>
        <v/>
      </c>
      <c r="BH17" s="130" t="str">
        <f>IF(OR(AND(S17="",O17&lt;&gt;"")),VLOOKUP(O17,Data!$BC$2:$BD$6,2,FALSE),"")</f>
        <v/>
      </c>
      <c r="BI17" s="132" t="b">
        <f>IF(L17=Data!$BF$2,Data!$BG$1, IF(L17=Data!$BF$3,Data!$BH$1, IF(L17=Data!$BF$4,Data!$BI$1, IF(L17=Data!$BF$5,Data!$BJ$1, IF(L17=Data!$BF$6,Data!$BK$1)))))</f>
        <v>0</v>
      </c>
      <c r="BJ17" s="132" t="str">
        <f>IF(OR(AND(D17&lt;830, Y17=Data!$BM$1)),"Yes","No")</f>
        <v>No</v>
      </c>
      <c r="BK17" s="132" t="e">
        <f>VLOOKUP(L17,Data!$BZ$1:$CA$5,2,FALSE)</f>
        <v>#N/A</v>
      </c>
      <c r="BL17" s="132" t="e">
        <f t="shared" ref="BL17:BL23" si="37">IF(E17="MS",C17,(C17/F17))</f>
        <v>#DIV/0!</v>
      </c>
      <c r="BM17" s="132" t="e">
        <f t="shared" ref="BM17:BM23" si="38">BK17-BL17</f>
        <v>#N/A</v>
      </c>
      <c r="BN17" s="132" t="e">
        <f t="shared" ref="BN17:BN23" si="39">IF(BM17&lt;0, "Oversize", "OK")</f>
        <v>#N/A</v>
      </c>
      <c r="BO17" s="188" t="str">
        <f>IF(SUM(--ISNUMBER( SEARCH({"t","T"},M17))),"Yes","No")</f>
        <v>No</v>
      </c>
      <c r="BP17" s="188" t="e">
        <f>VLOOKUP(T17,Data!$CL$2:$CO$9,2,FALSE)</f>
        <v>#N/A</v>
      </c>
      <c r="BQ17" s="188" t="e">
        <f>VLOOKUP(T17,Data!$CL$2:$CO$9,3,FALSE)</f>
        <v>#N/A</v>
      </c>
      <c r="BR17" s="188" t="e">
        <f>VLOOKUP(T17,Data!$CL$2:$CO$9,4,FALSE)</f>
        <v>#N/A</v>
      </c>
      <c r="BS17" s="132" t="e">
        <f t="shared" ref="BS17:BS23" si="40">IF(OR(AND(BP17=1,U17="")), "Error", "OK")</f>
        <v>#N/A</v>
      </c>
      <c r="BT17" s="132" t="e">
        <f t="shared" ref="BT17:BT23" si="41">IF(OR(AND(BQ17=1,V17="")), "Error", "OK")</f>
        <v>#N/A</v>
      </c>
      <c r="BU17" s="132" t="e">
        <f t="shared" ref="BU17:BU23" si="42">IF(OR(AND(BR17=1,W17="")), "Error", "OK")</f>
        <v>#N/A</v>
      </c>
      <c r="BV17" s="132" t="str">
        <f t="shared" ref="BV17:BV23" si="43">IF(COUNTIF(BS17:BU17,$BV$7),"Required","")</f>
        <v/>
      </c>
      <c r="BW17" s="132" t="str">
        <f t="shared" ref="BW17:BW23" si="44">IF(OR(AND(BO17="Yes"), AND(BV17="Required")),"Yes","No")</f>
        <v>No</v>
      </c>
      <c r="BX17" s="132" t="str">
        <f t="shared" ref="BX17:BX23" si="45">IF(OR(AND(T17="", BW17="Yes")),"Highlight","No")</f>
        <v>No</v>
      </c>
      <c r="BY17" s="132" t="str">
        <f t="shared" ref="BY17:BY23" si="46">IF(OR(AND(D17&gt;1800, J17="")), "Yes","No")</f>
        <v>No</v>
      </c>
      <c r="CF17" s="7" t="b">
        <f t="shared" si="34"/>
        <v>0</v>
      </c>
      <c r="CK17" s="7" t="s">
        <v>504</v>
      </c>
      <c r="CL17" s="7" t="str">
        <f>$EQ$8</f>
        <v>Shaped</v>
      </c>
      <c r="CR17" s="7" t="e">
        <f t="shared" si="23"/>
        <v>#N/A</v>
      </c>
      <c r="CS17" s="7" t="e">
        <f t="shared" si="24"/>
        <v>#N/A</v>
      </c>
      <c r="CT17" s="7" t="e">
        <f t="shared" si="25"/>
        <v>#N/A</v>
      </c>
      <c r="DB17" s="7" t="e">
        <f t="shared" si="7"/>
        <v>#N/A</v>
      </c>
      <c r="DH17" s="7" t="e">
        <f t="shared" si="8"/>
        <v>#N/A</v>
      </c>
      <c r="DS17" s="7" t="e">
        <f t="shared" si="10"/>
        <v>#N/A</v>
      </c>
      <c r="DW17" s="7" t="e">
        <f t="shared" si="11"/>
        <v>#N/A</v>
      </c>
      <c r="DX17" s="7" t="e">
        <f t="shared" si="12"/>
        <v>#N/A</v>
      </c>
      <c r="DZ17" s="7" t="str">
        <f t="shared" si="26"/>
        <v>EcoExternalAluminiumColour</v>
      </c>
      <c r="EB17" s="7" t="s">
        <v>544</v>
      </c>
      <c r="EI17" s="7">
        <f>IF(T17="",0, VLOOKUP(M17,Data!$AY$3:$BA$120,3,FALSE))</f>
        <v>0</v>
      </c>
      <c r="EJ17" s="7">
        <f t="shared" si="28"/>
        <v>0</v>
      </c>
      <c r="EP17" s="7" t="e">
        <f t="shared" si="29"/>
        <v>#N/A</v>
      </c>
      <c r="ES17" s="7" t="e">
        <f t="shared" si="30"/>
        <v>#N/A</v>
      </c>
      <c r="FA17" s="7" t="e">
        <f t="shared" si="31"/>
        <v>#N/A</v>
      </c>
      <c r="FB17" s="7" t="e">
        <f t="shared" si="32"/>
        <v>#N/A</v>
      </c>
      <c r="FC17" s="7" t="e">
        <f t="shared" si="33"/>
        <v>#N/A</v>
      </c>
    </row>
    <row r="18" spans="1:159" ht="26.25" customHeight="1" x14ac:dyDescent="0.2">
      <c r="A18" s="14">
        <v>10</v>
      </c>
      <c r="B18" s="253"/>
      <c r="C18" s="260"/>
      <c r="D18" s="253"/>
      <c r="E18" s="254"/>
      <c r="F18" s="242"/>
      <c r="G18" s="242"/>
      <c r="H18" s="254"/>
      <c r="I18" s="254"/>
      <c r="J18" s="255"/>
      <c r="K18" s="255"/>
      <c r="L18" s="256"/>
      <c r="M18" s="255"/>
      <c r="N18" s="257"/>
      <c r="O18" s="257"/>
      <c r="P18" s="258"/>
      <c r="Q18" s="258"/>
      <c r="R18" s="258"/>
      <c r="S18" s="258"/>
      <c r="T18" s="258"/>
      <c r="U18" s="254"/>
      <c r="V18" s="254"/>
      <c r="W18" s="254"/>
      <c r="X18" s="250"/>
      <c r="Y18" s="257"/>
      <c r="Z18" s="263"/>
      <c r="AA18" s="262"/>
      <c r="AE18" s="198"/>
      <c r="AH18" s="7" t="str">
        <f t="shared" si="13"/>
        <v>AluminiumProductInOut</v>
      </c>
      <c r="AK18" s="7" t="e">
        <f t="shared" si="14"/>
        <v>#N/A</v>
      </c>
      <c r="AL18" s="7" t="e">
        <f t="shared" si="1"/>
        <v>#N/A</v>
      </c>
      <c r="AT18" s="7" t="e">
        <f t="shared" si="2"/>
        <v>#N/A</v>
      </c>
      <c r="AU18" s="7" t="b">
        <f>IF(L18=Data!$CD$1,Data!$CF$1, IF(L18=Data!$CD$2,Data!$CG$1,IF(L18=Data!$CD$3,Data!$CH$1,IF(L18=Data!$CD$4,Data!$CI$1,IF(L18=Data!$CD$5,Data!$CJ$1)))))</f>
        <v>0</v>
      </c>
      <c r="AV18" s="121" t="b">
        <f>IF(E18=Data!$E$1,Data!$A$1,IF('Eco Aluminium External Shutters'!E18=Data!$E$2,Data!$B$1,IF('Eco Aluminium External Shutters'!E18=Data!$E$3,Data!$C$1)))</f>
        <v>0</v>
      </c>
      <c r="AW18" s="121" t="b">
        <f>IF(E18=Data!$E$1,Data!$G$1, IF(E18=Data!$E$2,Data!$H$1, IF(E18=Data!$E$3,Data!$I$1)))</f>
        <v>0</v>
      </c>
      <c r="AX18" s="121" t="b">
        <f>IF(E18=Data!$E$1,Data!$K$1,IF(E18=Data!$E$2,Data!$L$1, IF(E18=Data!$E$3,Data!$M$1)))</f>
        <v>0</v>
      </c>
      <c r="AY18" s="121" t="b">
        <f>IF(E18=Data!$E$1,Data!$O$1, IF(E18=Data!$E$2,Data!$P$1, IF(E18=Data!$E$3,Data!$Q$1)))</f>
        <v>0</v>
      </c>
      <c r="AZ18" s="121" t="b">
        <f>IF(L18=Data!$AJ$2,Data!$AK$1,IF(L18=Data!$AJ$3,Data!$AL$1,IF(L18=Data!$AJ$4,Data!$AM$1,IF(L18=Data!$AJ$5,Data!$AN$1,IF(L18=Data!$AJ$6,Data!$AO$1, IF(L18=Data!$AJ$7,Data!$AP$1,IF(L18=Data!$AJ$8,Data!$AQ$1)))))))</f>
        <v>0</v>
      </c>
      <c r="BA18" s="121" t="b">
        <f>IF(L18=Data!$BO$1,Data!$BP$1, IF(L18=Data!$BO$2,Data!$BQ$1, IF(L18=Data!$BO$3,Data!$BR$1, IF(L18=Data!$BO$4,Data!$BS$1, IF(L18=Data!$BO$5,Data!$BT$1)))))</f>
        <v>0</v>
      </c>
      <c r="BB18" s="122">
        <f t="shared" si="35"/>
        <v>0</v>
      </c>
      <c r="BC18" s="122" t="e">
        <f>VLOOKUP(M18,Data!$AY$2:$AZ$120,2,FALSE)</f>
        <v>#N/A</v>
      </c>
      <c r="BD18" s="122" t="e">
        <f t="shared" si="36"/>
        <v>#N/A</v>
      </c>
      <c r="BE18" s="130" t="str">
        <f>IF(OR(AND(P18="",O18&lt;&gt;"")),VLOOKUP(O18,Data!$BC$2:$BD$6,2,FALSE),"")</f>
        <v/>
      </c>
      <c r="BF18" s="130" t="str">
        <f>IF(OR(AND(Q18="",O18&lt;&gt;"")),VLOOKUP(O18,Data!$BC$2:$BD$6,2,FALSE),"")</f>
        <v/>
      </c>
      <c r="BG18" s="130" t="str">
        <f>IF(OR(AND(R18="",O18&lt;&gt;"")),VLOOKUP(O18,Data!$BC$2:$BD$6,2,FALSE),"")</f>
        <v/>
      </c>
      <c r="BH18" s="130" t="str">
        <f>IF(OR(AND(S18="",O18&lt;&gt;"")),VLOOKUP(O18,Data!$BC$2:$BD$6,2,FALSE),"")</f>
        <v/>
      </c>
      <c r="BI18" s="132" t="b">
        <f>IF(L18=Data!$BF$2,Data!$BG$1, IF(L18=Data!$BF$3,Data!$BH$1, IF(L18=Data!$BF$4,Data!$BI$1, IF(L18=Data!$BF$5,Data!$BJ$1, IF(L18=Data!$BF$6,Data!$BK$1)))))</f>
        <v>0</v>
      </c>
      <c r="BJ18" s="132" t="str">
        <f>IF(OR(AND(D18&lt;830, Y18=Data!$BM$1)),"Yes","No")</f>
        <v>No</v>
      </c>
      <c r="BK18" s="132" t="e">
        <f>VLOOKUP(L18,Data!$BZ$1:$CA$5,2,FALSE)</f>
        <v>#N/A</v>
      </c>
      <c r="BL18" s="132" t="e">
        <f t="shared" si="37"/>
        <v>#DIV/0!</v>
      </c>
      <c r="BM18" s="132" t="e">
        <f t="shared" si="38"/>
        <v>#N/A</v>
      </c>
      <c r="BN18" s="132" t="e">
        <f t="shared" si="39"/>
        <v>#N/A</v>
      </c>
      <c r="BO18" s="188" t="str">
        <f>IF(SUM(--ISNUMBER( SEARCH({"t","T"},M18))),"Yes","No")</f>
        <v>No</v>
      </c>
      <c r="BP18" s="188" t="e">
        <f>VLOOKUP(T18,Data!$CL$2:$CO$9,2,FALSE)</f>
        <v>#N/A</v>
      </c>
      <c r="BQ18" s="188" t="e">
        <f>VLOOKUP(T18,Data!$CL$2:$CO$9,3,FALSE)</f>
        <v>#N/A</v>
      </c>
      <c r="BR18" s="188" t="e">
        <f>VLOOKUP(T18,Data!$CL$2:$CO$9,4,FALSE)</f>
        <v>#N/A</v>
      </c>
      <c r="BS18" s="132" t="e">
        <f t="shared" si="40"/>
        <v>#N/A</v>
      </c>
      <c r="BT18" s="132" t="e">
        <f t="shared" si="41"/>
        <v>#N/A</v>
      </c>
      <c r="BU18" s="132" t="e">
        <f t="shared" si="42"/>
        <v>#N/A</v>
      </c>
      <c r="BV18" s="132" t="str">
        <f t="shared" si="43"/>
        <v/>
      </c>
      <c r="BW18" s="132" t="str">
        <f t="shared" si="44"/>
        <v>No</v>
      </c>
      <c r="BX18" s="132" t="str">
        <f t="shared" si="45"/>
        <v>No</v>
      </c>
      <c r="BY18" s="132" t="str">
        <f t="shared" si="46"/>
        <v>No</v>
      </c>
      <c r="CF18" s="7" t="b">
        <f t="shared" si="34"/>
        <v>0</v>
      </c>
      <c r="CR18" s="7" t="e">
        <f t="shared" si="23"/>
        <v>#N/A</v>
      </c>
      <c r="CS18" s="7" t="e">
        <f t="shared" si="24"/>
        <v>#N/A</v>
      </c>
      <c r="CT18" s="7" t="e">
        <f t="shared" si="25"/>
        <v>#N/A</v>
      </c>
      <c r="DB18" s="7" t="e">
        <f t="shared" si="7"/>
        <v>#N/A</v>
      </c>
      <c r="DH18" s="7" t="e">
        <f t="shared" si="8"/>
        <v>#N/A</v>
      </c>
      <c r="DS18" s="7" t="e">
        <f t="shared" si="10"/>
        <v>#N/A</v>
      </c>
      <c r="DW18" s="7" t="e">
        <f t="shared" si="11"/>
        <v>#N/A</v>
      </c>
      <c r="DX18" s="7" t="e">
        <f t="shared" si="12"/>
        <v>#N/A</v>
      </c>
      <c r="DZ18" s="7" t="str">
        <f t="shared" si="26"/>
        <v>EcoExternalAluminiumColour</v>
      </c>
      <c r="EI18" s="7">
        <f>IF(T18="",0, VLOOKUP(M18,Data!$AY$3:$BA$120,3,FALSE))</f>
        <v>0</v>
      </c>
      <c r="EJ18" s="7">
        <f t="shared" si="28"/>
        <v>0</v>
      </c>
      <c r="EP18" s="7" t="e">
        <f t="shared" si="29"/>
        <v>#N/A</v>
      </c>
      <c r="ES18" s="7" t="e">
        <f t="shared" si="30"/>
        <v>#N/A</v>
      </c>
      <c r="FA18" s="7" t="e">
        <f t="shared" si="31"/>
        <v>#N/A</v>
      </c>
      <c r="FB18" s="7" t="e">
        <f t="shared" si="32"/>
        <v>#N/A</v>
      </c>
      <c r="FC18" s="7" t="e">
        <f t="shared" si="33"/>
        <v>#N/A</v>
      </c>
    </row>
    <row r="19" spans="1:159" ht="26.25" customHeight="1" x14ac:dyDescent="0.2">
      <c r="A19" s="14">
        <v>11</v>
      </c>
      <c r="B19" s="253"/>
      <c r="C19" s="260"/>
      <c r="D19" s="253"/>
      <c r="E19" s="254"/>
      <c r="F19" s="242"/>
      <c r="G19" s="242"/>
      <c r="H19" s="254"/>
      <c r="I19" s="254"/>
      <c r="J19" s="255"/>
      <c r="K19" s="255"/>
      <c r="L19" s="256"/>
      <c r="M19" s="255"/>
      <c r="N19" s="257"/>
      <c r="O19" s="257"/>
      <c r="P19" s="258"/>
      <c r="Q19" s="258"/>
      <c r="R19" s="258"/>
      <c r="S19" s="258"/>
      <c r="T19" s="258"/>
      <c r="U19" s="254"/>
      <c r="V19" s="254"/>
      <c r="W19" s="254"/>
      <c r="X19" s="250"/>
      <c r="Y19" s="257"/>
      <c r="Z19" s="263"/>
      <c r="AA19" s="262"/>
      <c r="AE19" s="198"/>
      <c r="AH19" s="7" t="str">
        <f t="shared" si="13"/>
        <v>AluminiumProductInOut</v>
      </c>
      <c r="AK19" s="7" t="e">
        <f t="shared" si="14"/>
        <v>#N/A</v>
      </c>
      <c r="AL19" s="7" t="e">
        <f t="shared" si="1"/>
        <v>#N/A</v>
      </c>
      <c r="AT19" s="7" t="e">
        <f t="shared" si="2"/>
        <v>#N/A</v>
      </c>
      <c r="AU19" s="7" t="b">
        <f>IF(L19=Data!$CD$1,Data!$CF$1, IF(L19=Data!$CD$2,Data!$CG$1,IF(L19=Data!$CD$3,Data!$CH$1,IF(L19=Data!$CD$4,Data!$CI$1,IF(L19=Data!$CD$5,Data!$CJ$1)))))</f>
        <v>0</v>
      </c>
      <c r="AV19" s="121" t="b">
        <f>IF(E19=Data!$E$1,Data!$A$1,IF('Eco Aluminium External Shutters'!E19=Data!$E$2,Data!$B$1,IF('Eco Aluminium External Shutters'!E19=Data!$E$3,Data!$C$1)))</f>
        <v>0</v>
      </c>
      <c r="AW19" s="121" t="b">
        <f>IF(E19=Data!$E$1,Data!$G$1, IF(E19=Data!$E$2,Data!$H$1, IF(E19=Data!$E$3,Data!$I$1)))</f>
        <v>0</v>
      </c>
      <c r="AX19" s="121" t="b">
        <f>IF(E19=Data!$E$1,Data!$K$1,IF(E19=Data!$E$2,Data!$L$1, IF(E19=Data!$E$3,Data!$M$1)))</f>
        <v>0</v>
      </c>
      <c r="AY19" s="121" t="b">
        <f>IF(E19=Data!$E$1,Data!$O$1, IF(E19=Data!$E$2,Data!$P$1, IF(E19=Data!$E$3,Data!$Q$1)))</f>
        <v>0</v>
      </c>
      <c r="AZ19" s="121" t="b">
        <f>IF(L19=Data!$AJ$2,Data!$AK$1,IF(L19=Data!$AJ$3,Data!$AL$1,IF(L19=Data!$AJ$4,Data!$AM$1,IF(L19=Data!$AJ$5,Data!$AN$1,IF(L19=Data!$AJ$6,Data!$AO$1, IF(L19=Data!$AJ$7,Data!$AP$1,IF(L19=Data!$AJ$8,Data!$AQ$1)))))))</f>
        <v>0</v>
      </c>
      <c r="BA19" s="121" t="b">
        <f>IF(L19=Data!$BO$1,Data!$BP$1, IF(L19=Data!$BO$2,Data!$BQ$1, IF(L19=Data!$BO$3,Data!$BR$1, IF(L19=Data!$BO$4,Data!$BS$1, IF(L19=Data!$BO$5,Data!$BT$1)))))</f>
        <v>0</v>
      </c>
      <c r="BB19" s="122">
        <f t="shared" si="35"/>
        <v>0</v>
      </c>
      <c r="BC19" s="122" t="e">
        <f>VLOOKUP(M19,Data!$AY$2:$AZ$120,2,FALSE)</f>
        <v>#N/A</v>
      </c>
      <c r="BD19" s="122" t="e">
        <f t="shared" si="36"/>
        <v>#N/A</v>
      </c>
      <c r="BE19" s="130" t="str">
        <f>IF(OR(AND(P19="",O19&lt;&gt;"")),VLOOKUP(O19,Data!$BC$2:$BD$6,2,FALSE),"")</f>
        <v/>
      </c>
      <c r="BF19" s="130" t="str">
        <f>IF(OR(AND(Q19="",O19&lt;&gt;"")),VLOOKUP(O19,Data!$BC$2:$BD$6,2,FALSE),"")</f>
        <v/>
      </c>
      <c r="BG19" s="130" t="str">
        <f>IF(OR(AND(R19="",O19&lt;&gt;"")),VLOOKUP(O19,Data!$BC$2:$BD$6,2,FALSE),"")</f>
        <v/>
      </c>
      <c r="BH19" s="130" t="str">
        <f>IF(OR(AND(S19="",O19&lt;&gt;"")),VLOOKUP(O19,Data!$BC$2:$BD$6,2,FALSE),"")</f>
        <v/>
      </c>
      <c r="BI19" s="132" t="b">
        <f>IF(L19=Data!$BF$2,Data!$BG$1, IF(L19=Data!$BF$3,Data!$BH$1, IF(L19=Data!$BF$4,Data!$BI$1, IF(L19=Data!$BF$5,Data!$BJ$1, IF(L19=Data!$BF$6,Data!$BK$1)))))</f>
        <v>0</v>
      </c>
      <c r="BJ19" s="132" t="str">
        <f>IF(OR(AND(D19&lt;830, Y19=Data!$BM$1)),"Yes","No")</f>
        <v>No</v>
      </c>
      <c r="BK19" s="132" t="e">
        <f>VLOOKUP(L19,Data!$BZ$1:$CA$5,2,FALSE)</f>
        <v>#N/A</v>
      </c>
      <c r="BL19" s="132" t="e">
        <f t="shared" si="37"/>
        <v>#DIV/0!</v>
      </c>
      <c r="BM19" s="132" t="e">
        <f t="shared" si="38"/>
        <v>#N/A</v>
      </c>
      <c r="BN19" s="132" t="e">
        <f t="shared" si="39"/>
        <v>#N/A</v>
      </c>
      <c r="BO19" s="188" t="str">
        <f>IF(SUM(--ISNUMBER( SEARCH({"t","T"},M19))),"Yes","No")</f>
        <v>No</v>
      </c>
      <c r="BP19" s="188" t="e">
        <f>VLOOKUP(T19,Data!$CL$2:$CO$9,2,FALSE)</f>
        <v>#N/A</v>
      </c>
      <c r="BQ19" s="188" t="e">
        <f>VLOOKUP(T19,Data!$CL$2:$CO$9,3,FALSE)</f>
        <v>#N/A</v>
      </c>
      <c r="BR19" s="188" t="e">
        <f>VLOOKUP(T19,Data!$CL$2:$CO$9,4,FALSE)</f>
        <v>#N/A</v>
      </c>
      <c r="BS19" s="132" t="e">
        <f t="shared" si="40"/>
        <v>#N/A</v>
      </c>
      <c r="BT19" s="132" t="e">
        <f t="shared" si="41"/>
        <v>#N/A</v>
      </c>
      <c r="BU19" s="132" t="e">
        <f t="shared" si="42"/>
        <v>#N/A</v>
      </c>
      <c r="BV19" s="132" t="str">
        <f t="shared" si="43"/>
        <v/>
      </c>
      <c r="BW19" s="132" t="str">
        <f t="shared" si="44"/>
        <v>No</v>
      </c>
      <c r="BX19" s="132" t="str">
        <f t="shared" si="45"/>
        <v>No</v>
      </c>
      <c r="BY19" s="132" t="str">
        <f t="shared" si="46"/>
        <v>No</v>
      </c>
      <c r="CF19" s="7" t="b">
        <f t="shared" si="34"/>
        <v>0</v>
      </c>
      <c r="CR19" s="7" t="e">
        <f t="shared" si="23"/>
        <v>#N/A</v>
      </c>
      <c r="CS19" s="7" t="e">
        <f t="shared" si="24"/>
        <v>#N/A</v>
      </c>
      <c r="CT19" s="7" t="e">
        <f t="shared" si="25"/>
        <v>#N/A</v>
      </c>
      <c r="DB19" s="7" t="e">
        <f t="shared" si="7"/>
        <v>#N/A</v>
      </c>
      <c r="DH19" s="7" t="e">
        <f t="shared" si="8"/>
        <v>#N/A</v>
      </c>
      <c r="DS19" s="7" t="e">
        <f t="shared" si="10"/>
        <v>#N/A</v>
      </c>
      <c r="DW19" s="7" t="e">
        <f t="shared" si="11"/>
        <v>#N/A</v>
      </c>
      <c r="DX19" s="7" t="e">
        <f t="shared" si="12"/>
        <v>#N/A</v>
      </c>
      <c r="DZ19" s="7" t="str">
        <f t="shared" si="26"/>
        <v>EcoExternalAluminiumColour</v>
      </c>
      <c r="EI19" s="7">
        <f>IF(T19="",0, VLOOKUP(M19,Data!$AY$3:$BA$120,3,FALSE))</f>
        <v>0</v>
      </c>
      <c r="EJ19" s="7">
        <f t="shared" si="28"/>
        <v>0</v>
      </c>
      <c r="EP19" s="7" t="e">
        <f t="shared" si="29"/>
        <v>#N/A</v>
      </c>
      <c r="ES19" s="7" t="e">
        <f t="shared" si="30"/>
        <v>#N/A</v>
      </c>
      <c r="FA19" s="7" t="e">
        <f t="shared" si="31"/>
        <v>#N/A</v>
      </c>
      <c r="FB19" s="7" t="e">
        <f t="shared" si="32"/>
        <v>#N/A</v>
      </c>
      <c r="FC19" s="7" t="e">
        <f t="shared" si="33"/>
        <v>#N/A</v>
      </c>
    </row>
    <row r="20" spans="1:159" ht="26.25" customHeight="1" x14ac:dyDescent="0.2">
      <c r="A20" s="14">
        <v>12</v>
      </c>
      <c r="B20" s="253"/>
      <c r="C20" s="260"/>
      <c r="D20" s="253"/>
      <c r="E20" s="254"/>
      <c r="F20" s="242"/>
      <c r="G20" s="242"/>
      <c r="H20" s="254"/>
      <c r="I20" s="254"/>
      <c r="J20" s="255"/>
      <c r="K20" s="255"/>
      <c r="L20" s="256"/>
      <c r="M20" s="255"/>
      <c r="N20" s="257"/>
      <c r="O20" s="257"/>
      <c r="P20" s="258"/>
      <c r="Q20" s="258"/>
      <c r="R20" s="258"/>
      <c r="S20" s="258"/>
      <c r="T20" s="258"/>
      <c r="U20" s="254"/>
      <c r="V20" s="254"/>
      <c r="W20" s="254"/>
      <c r="X20" s="250"/>
      <c r="Y20" s="257"/>
      <c r="Z20" s="263"/>
      <c r="AA20" s="262"/>
      <c r="AE20" s="198"/>
      <c r="AH20" s="7" t="str">
        <f t="shared" si="13"/>
        <v>AluminiumProductInOut</v>
      </c>
      <c r="AK20" s="7" t="e">
        <f t="shared" si="14"/>
        <v>#N/A</v>
      </c>
      <c r="AL20" s="7" t="e">
        <f t="shared" si="1"/>
        <v>#N/A</v>
      </c>
      <c r="AT20" s="7" t="e">
        <f t="shared" si="2"/>
        <v>#N/A</v>
      </c>
      <c r="AU20" s="7" t="b">
        <f>IF(L20=Data!$CD$1,Data!$CF$1, IF(L20=Data!$CD$2,Data!$CG$1,IF(L20=Data!$CD$3,Data!$CH$1,IF(L20=Data!$CD$4,Data!$CI$1,IF(L20=Data!$CD$5,Data!$CJ$1)))))</f>
        <v>0</v>
      </c>
      <c r="AV20" s="121" t="b">
        <f>IF(E20=Data!$E$1,Data!$A$1,IF('Eco Aluminium External Shutters'!E20=Data!$E$2,Data!$B$1,IF('Eco Aluminium External Shutters'!E20=Data!$E$3,Data!$C$1)))</f>
        <v>0</v>
      </c>
      <c r="AW20" s="121" t="b">
        <f>IF(E20=Data!$E$1,Data!$G$1, IF(E20=Data!$E$2,Data!$H$1, IF(E20=Data!$E$3,Data!$I$1)))</f>
        <v>0</v>
      </c>
      <c r="AX20" s="121" t="b">
        <f>IF(E20=Data!$E$1,Data!$K$1,IF(E20=Data!$E$2,Data!$L$1, IF(E20=Data!$E$3,Data!$M$1)))</f>
        <v>0</v>
      </c>
      <c r="AY20" s="121" t="b">
        <f>IF(E20=Data!$E$1,Data!$O$1, IF(E20=Data!$E$2,Data!$P$1, IF(E20=Data!$E$3,Data!$Q$1)))</f>
        <v>0</v>
      </c>
      <c r="AZ20" s="121" t="b">
        <f>IF(L20=Data!$AJ$2,Data!$AK$1,IF(L20=Data!$AJ$3,Data!$AL$1,IF(L20=Data!$AJ$4,Data!$AM$1,IF(L20=Data!$AJ$5,Data!$AN$1,IF(L20=Data!$AJ$6,Data!$AO$1, IF(L20=Data!$AJ$7,Data!$AP$1,IF(L20=Data!$AJ$8,Data!$AQ$1)))))))</f>
        <v>0</v>
      </c>
      <c r="BA20" s="121" t="b">
        <f>IF(L20=Data!$BO$1,Data!$BP$1, IF(L20=Data!$BO$2,Data!$BQ$1, IF(L20=Data!$BO$3,Data!$BR$1, IF(L20=Data!$BO$4,Data!$BS$1, IF(L20=Data!$BO$5,Data!$BT$1)))))</f>
        <v>0</v>
      </c>
      <c r="BB20" s="122">
        <f t="shared" si="35"/>
        <v>0</v>
      </c>
      <c r="BC20" s="122" t="e">
        <f>VLOOKUP(M20,Data!$AY$2:$AZ$120,2,FALSE)</f>
        <v>#N/A</v>
      </c>
      <c r="BD20" s="122" t="e">
        <f t="shared" si="36"/>
        <v>#N/A</v>
      </c>
      <c r="BE20" s="130" t="str">
        <f>IF(OR(AND(P20="",O20&lt;&gt;"")),VLOOKUP(O20,Data!$BC$2:$BD$6,2,FALSE),"")</f>
        <v/>
      </c>
      <c r="BF20" s="130" t="str">
        <f>IF(OR(AND(Q20="",O20&lt;&gt;"")),VLOOKUP(O20,Data!$BC$2:$BD$6,2,FALSE),"")</f>
        <v/>
      </c>
      <c r="BG20" s="130" t="str">
        <f>IF(OR(AND(R20="",O20&lt;&gt;"")),VLOOKUP(O20,Data!$BC$2:$BD$6,2,FALSE),"")</f>
        <v/>
      </c>
      <c r="BH20" s="130" t="str">
        <f>IF(OR(AND(S20="",O20&lt;&gt;"")),VLOOKUP(O20,Data!$BC$2:$BD$6,2,FALSE),"")</f>
        <v/>
      </c>
      <c r="BI20" s="132" t="b">
        <f>IF(L20=Data!$BF$2,Data!$BG$1, IF(L20=Data!$BF$3,Data!$BH$1, IF(L20=Data!$BF$4,Data!$BI$1, IF(L20=Data!$BF$5,Data!$BJ$1, IF(L20=Data!$BF$6,Data!$BK$1)))))</f>
        <v>0</v>
      </c>
      <c r="BJ20" s="132" t="str">
        <f>IF(OR(AND(D20&lt;830, Y20=Data!$BM$1)),"Yes","No")</f>
        <v>No</v>
      </c>
      <c r="BK20" s="132" t="e">
        <f>VLOOKUP(L20,Data!$BZ$1:$CA$5,2,FALSE)</f>
        <v>#N/A</v>
      </c>
      <c r="BL20" s="132" t="e">
        <f t="shared" si="37"/>
        <v>#DIV/0!</v>
      </c>
      <c r="BM20" s="132" t="e">
        <f t="shared" si="38"/>
        <v>#N/A</v>
      </c>
      <c r="BN20" s="132" t="e">
        <f t="shared" si="39"/>
        <v>#N/A</v>
      </c>
      <c r="BO20" s="188" t="str">
        <f>IF(SUM(--ISNUMBER( SEARCH({"t","T"},M20))),"Yes","No")</f>
        <v>No</v>
      </c>
      <c r="BP20" s="188" t="e">
        <f>VLOOKUP(T20,Data!$CL$2:$CO$9,2,FALSE)</f>
        <v>#N/A</v>
      </c>
      <c r="BQ20" s="188" t="e">
        <f>VLOOKUP(T20,Data!$CL$2:$CO$9,3,FALSE)</f>
        <v>#N/A</v>
      </c>
      <c r="BR20" s="188" t="e">
        <f>VLOOKUP(T20,Data!$CL$2:$CO$9,4,FALSE)</f>
        <v>#N/A</v>
      </c>
      <c r="BS20" s="132" t="e">
        <f t="shared" si="40"/>
        <v>#N/A</v>
      </c>
      <c r="BT20" s="132" t="e">
        <f t="shared" si="41"/>
        <v>#N/A</v>
      </c>
      <c r="BU20" s="132" t="e">
        <f t="shared" si="42"/>
        <v>#N/A</v>
      </c>
      <c r="BV20" s="132" t="str">
        <f t="shared" si="43"/>
        <v/>
      </c>
      <c r="BW20" s="132" t="str">
        <f t="shared" si="44"/>
        <v>No</v>
      </c>
      <c r="BX20" s="132" t="str">
        <f t="shared" si="45"/>
        <v>No</v>
      </c>
      <c r="BY20" s="132" t="str">
        <f t="shared" si="46"/>
        <v>No</v>
      </c>
      <c r="CF20" s="7" t="b">
        <f t="shared" si="34"/>
        <v>0</v>
      </c>
      <c r="CR20" s="7" t="e">
        <f t="shared" si="23"/>
        <v>#N/A</v>
      </c>
      <c r="CS20" s="7" t="e">
        <f t="shared" si="24"/>
        <v>#N/A</v>
      </c>
      <c r="CT20" s="7" t="e">
        <f t="shared" si="25"/>
        <v>#N/A</v>
      </c>
      <c r="DB20" s="7" t="e">
        <f t="shared" si="7"/>
        <v>#N/A</v>
      </c>
      <c r="DH20" s="7" t="e">
        <f t="shared" si="8"/>
        <v>#N/A</v>
      </c>
      <c r="DS20" s="7" t="e">
        <f t="shared" si="10"/>
        <v>#N/A</v>
      </c>
      <c r="DW20" s="7" t="e">
        <f t="shared" si="11"/>
        <v>#N/A</v>
      </c>
      <c r="DX20" s="7" t="e">
        <f t="shared" si="12"/>
        <v>#N/A</v>
      </c>
      <c r="DZ20" s="7" t="str">
        <f t="shared" si="26"/>
        <v>EcoExternalAluminiumColour</v>
      </c>
      <c r="EI20" s="7">
        <f>IF(T20="",0, VLOOKUP(M20,Data!$AY$3:$BA$120,3,FALSE))</f>
        <v>0</v>
      </c>
      <c r="EJ20" s="7">
        <f t="shared" si="28"/>
        <v>0</v>
      </c>
      <c r="EP20" s="7" t="e">
        <f t="shared" si="29"/>
        <v>#N/A</v>
      </c>
      <c r="ES20" s="7" t="e">
        <f t="shared" si="30"/>
        <v>#N/A</v>
      </c>
      <c r="FA20" s="7" t="e">
        <f t="shared" si="31"/>
        <v>#N/A</v>
      </c>
      <c r="FB20" s="7" t="e">
        <f t="shared" si="32"/>
        <v>#N/A</v>
      </c>
      <c r="FC20" s="7" t="e">
        <f t="shared" si="33"/>
        <v>#N/A</v>
      </c>
    </row>
    <row r="21" spans="1:159" ht="26.25" customHeight="1" x14ac:dyDescent="0.2">
      <c r="A21" s="14">
        <v>13</v>
      </c>
      <c r="B21" s="253"/>
      <c r="C21" s="260"/>
      <c r="D21" s="253"/>
      <c r="E21" s="254"/>
      <c r="F21" s="242"/>
      <c r="G21" s="242"/>
      <c r="H21" s="254"/>
      <c r="I21" s="254"/>
      <c r="J21" s="255"/>
      <c r="K21" s="255"/>
      <c r="L21" s="256"/>
      <c r="M21" s="255"/>
      <c r="N21" s="257"/>
      <c r="O21" s="257"/>
      <c r="P21" s="258"/>
      <c r="Q21" s="258"/>
      <c r="R21" s="258"/>
      <c r="S21" s="258"/>
      <c r="T21" s="258"/>
      <c r="U21" s="254"/>
      <c r="V21" s="254"/>
      <c r="W21" s="254"/>
      <c r="X21" s="250"/>
      <c r="Y21" s="257"/>
      <c r="Z21" s="263"/>
      <c r="AA21" s="262" t="str">
        <f>IF(SUM(D21)=0,"",IF(E21="MS",SUM(((C21*D21)/1000000)*F21),SUM(((C21*D21)/1000000))))</f>
        <v/>
      </c>
      <c r="AE21" s="198"/>
      <c r="AH21" s="7" t="str">
        <f t="shared" si="13"/>
        <v>AluminiumProductInOut</v>
      </c>
      <c r="AK21" s="7" t="e">
        <f t="shared" si="14"/>
        <v>#N/A</v>
      </c>
      <c r="AL21" s="7" t="e">
        <f t="shared" si="1"/>
        <v>#N/A</v>
      </c>
      <c r="AT21" s="7" t="e">
        <f t="shared" si="2"/>
        <v>#N/A</v>
      </c>
      <c r="AU21" s="7" t="b">
        <f>IF(L21=Data!$CD$1,Data!$CF$1, IF(L21=Data!$CD$2,Data!$CG$1,IF(L21=Data!$CD$3,Data!$CH$1,IF(L21=Data!$CD$4,Data!$CI$1,IF(L21=Data!$CD$5,Data!$CJ$1)))))</f>
        <v>0</v>
      </c>
      <c r="AV21" s="121" t="b">
        <f>IF(E21=Data!$E$1,Data!$A$1,IF('Eco Aluminium External Shutters'!E21=Data!$E$2,Data!$B$1,IF('Eco Aluminium External Shutters'!E21=Data!$E$3,Data!$C$1)))</f>
        <v>0</v>
      </c>
      <c r="AW21" s="121" t="b">
        <f>IF(E21=Data!$E$1,Data!$G$1, IF(E21=Data!$E$2,Data!$H$1, IF(E21=Data!$E$3,Data!$I$1)))</f>
        <v>0</v>
      </c>
      <c r="AX21" s="121" t="b">
        <f>IF(E21=Data!$E$1,Data!$K$1,IF(E21=Data!$E$2,Data!$L$1, IF(E21=Data!$E$3,Data!$M$1)))</f>
        <v>0</v>
      </c>
      <c r="AY21" s="121" t="b">
        <f>IF(E21=Data!$E$1,Data!$O$1, IF(E21=Data!$E$2,Data!$P$1, IF(E21=Data!$E$3,Data!$Q$1)))</f>
        <v>0</v>
      </c>
      <c r="AZ21" s="121" t="b">
        <f>IF(L21=Data!$AJ$2,Data!$AK$1,IF(L21=Data!$AJ$3,Data!$AL$1,IF(L21=Data!$AJ$4,Data!$AM$1,IF(L21=Data!$AJ$5,Data!$AN$1,IF(L21=Data!$AJ$6,Data!$AO$1, IF(L21=Data!$AJ$7,Data!$AP$1,IF(L21=Data!$AJ$8,Data!$AQ$1)))))))</f>
        <v>0</v>
      </c>
      <c r="BA21" s="121" t="b">
        <f>IF(L21=Data!$BO$1,Data!$BP$1, IF(L21=Data!$BO$2,Data!$BQ$1, IF(L21=Data!$BO$3,Data!$BR$1, IF(L21=Data!$BO$4,Data!$BS$1, IF(L21=Data!$BO$5,Data!$BT$1)))))</f>
        <v>0</v>
      </c>
      <c r="BB21" s="122">
        <f t="shared" si="35"/>
        <v>0</v>
      </c>
      <c r="BC21" s="122" t="e">
        <f>VLOOKUP(M21,Data!$AY$2:$AZ$120,2,FALSE)</f>
        <v>#N/A</v>
      </c>
      <c r="BD21" s="122" t="e">
        <f t="shared" si="36"/>
        <v>#N/A</v>
      </c>
      <c r="BE21" s="130" t="str">
        <f>IF(OR(AND(P21="",O21&lt;&gt;"")),VLOOKUP(O21,Data!$BC$2:$BD$6,2,FALSE),"")</f>
        <v/>
      </c>
      <c r="BF21" s="130" t="str">
        <f>IF(OR(AND(Q21="",O21&lt;&gt;"")),VLOOKUP(O21,Data!$BC$2:$BD$6,2,FALSE),"")</f>
        <v/>
      </c>
      <c r="BG21" s="130" t="str">
        <f>IF(OR(AND(R21="",O21&lt;&gt;"")),VLOOKUP(O21,Data!$BC$2:$BD$6,2,FALSE),"")</f>
        <v/>
      </c>
      <c r="BH21" s="130" t="str">
        <f>IF(OR(AND(S21="",O21&lt;&gt;"")),VLOOKUP(O21,Data!$BC$2:$BD$6,2,FALSE),"")</f>
        <v/>
      </c>
      <c r="BI21" s="132" t="b">
        <f>IF(L21=Data!$BF$2,Data!$BG$1, IF(L21=Data!$BF$3,Data!$BH$1, IF(L21=Data!$BF$4,Data!$BI$1, IF(L21=Data!$BF$5,Data!$BJ$1, IF(L21=Data!$BF$6,Data!$BK$1)))))</f>
        <v>0</v>
      </c>
      <c r="BJ21" s="132" t="str">
        <f>IF(OR(AND(D21&lt;830, Y21=Data!$BM$1)),"Yes","No")</f>
        <v>No</v>
      </c>
      <c r="BK21" s="132" t="e">
        <f>VLOOKUP(L21,Data!$BZ$1:$CA$5,2,FALSE)</f>
        <v>#N/A</v>
      </c>
      <c r="BL21" s="132" t="e">
        <f t="shared" si="37"/>
        <v>#DIV/0!</v>
      </c>
      <c r="BM21" s="132" t="e">
        <f t="shared" si="38"/>
        <v>#N/A</v>
      </c>
      <c r="BN21" s="132" t="e">
        <f t="shared" si="39"/>
        <v>#N/A</v>
      </c>
      <c r="BO21" s="188" t="str">
        <f>IF(SUM(--ISNUMBER( SEARCH({"t","T"},M21))),"Yes","No")</f>
        <v>No</v>
      </c>
      <c r="BP21" s="188" t="e">
        <f>VLOOKUP(T21,Data!$CL$2:$CO$9,2,FALSE)</f>
        <v>#N/A</v>
      </c>
      <c r="BQ21" s="188" t="e">
        <f>VLOOKUP(T21,Data!$CL$2:$CO$9,3,FALSE)</f>
        <v>#N/A</v>
      </c>
      <c r="BR21" s="188" t="e">
        <f>VLOOKUP(T21,Data!$CL$2:$CO$9,4,FALSE)</f>
        <v>#N/A</v>
      </c>
      <c r="BS21" s="132" t="e">
        <f t="shared" si="40"/>
        <v>#N/A</v>
      </c>
      <c r="BT21" s="132" t="e">
        <f t="shared" si="41"/>
        <v>#N/A</v>
      </c>
      <c r="BU21" s="132" t="e">
        <f t="shared" si="42"/>
        <v>#N/A</v>
      </c>
      <c r="BV21" s="132" t="str">
        <f t="shared" si="43"/>
        <v/>
      </c>
      <c r="BW21" s="132" t="str">
        <f t="shared" si="44"/>
        <v>No</v>
      </c>
      <c r="BX21" s="132" t="str">
        <f t="shared" si="45"/>
        <v>No</v>
      </c>
      <c r="BY21" s="132" t="str">
        <f t="shared" si="46"/>
        <v>No</v>
      </c>
      <c r="CF21" s="7" t="b">
        <f t="shared" si="34"/>
        <v>0</v>
      </c>
      <c r="CR21" s="7" t="e">
        <f t="shared" si="23"/>
        <v>#N/A</v>
      </c>
      <c r="CS21" s="7" t="e">
        <f t="shared" si="24"/>
        <v>#N/A</v>
      </c>
      <c r="CT21" s="7" t="e">
        <f t="shared" si="25"/>
        <v>#N/A</v>
      </c>
      <c r="DB21" s="7" t="e">
        <f t="shared" si="7"/>
        <v>#N/A</v>
      </c>
      <c r="DH21" s="7" t="e">
        <f t="shared" si="8"/>
        <v>#N/A</v>
      </c>
      <c r="DS21" s="7" t="e">
        <f t="shared" si="10"/>
        <v>#N/A</v>
      </c>
      <c r="DW21" s="7" t="e">
        <f t="shared" si="11"/>
        <v>#N/A</v>
      </c>
      <c r="DX21" s="7" t="e">
        <f t="shared" si="12"/>
        <v>#N/A</v>
      </c>
      <c r="DZ21" s="7" t="str">
        <f t="shared" si="26"/>
        <v>EcoExternalAluminiumColour</v>
      </c>
      <c r="EI21" s="7">
        <f>IF(T21="",0, VLOOKUP(M21,Data!$AY$3:$BA$120,3,FALSE))</f>
        <v>0</v>
      </c>
      <c r="EJ21" s="7">
        <f t="shared" si="28"/>
        <v>0</v>
      </c>
      <c r="EP21" s="7" t="e">
        <f t="shared" si="29"/>
        <v>#N/A</v>
      </c>
      <c r="ES21" s="7" t="e">
        <f t="shared" si="30"/>
        <v>#N/A</v>
      </c>
      <c r="FA21" s="7" t="e">
        <f t="shared" si="31"/>
        <v>#N/A</v>
      </c>
      <c r="FB21" s="7" t="e">
        <f t="shared" si="32"/>
        <v>#N/A</v>
      </c>
      <c r="FC21" s="7" t="e">
        <f t="shared" si="33"/>
        <v>#N/A</v>
      </c>
    </row>
    <row r="22" spans="1:159" ht="26.25" customHeight="1" x14ac:dyDescent="0.2">
      <c r="A22" s="14">
        <v>14</v>
      </c>
      <c r="B22" s="253"/>
      <c r="C22" s="260"/>
      <c r="D22" s="253"/>
      <c r="E22" s="254"/>
      <c r="F22" s="242"/>
      <c r="G22" s="242"/>
      <c r="H22" s="254"/>
      <c r="I22" s="254"/>
      <c r="J22" s="255"/>
      <c r="K22" s="255"/>
      <c r="L22" s="256"/>
      <c r="M22" s="255"/>
      <c r="N22" s="257"/>
      <c r="O22" s="257"/>
      <c r="P22" s="258"/>
      <c r="Q22" s="258"/>
      <c r="R22" s="258"/>
      <c r="S22" s="258"/>
      <c r="T22" s="258"/>
      <c r="U22" s="254"/>
      <c r="V22" s="254"/>
      <c r="W22" s="254"/>
      <c r="X22" s="250"/>
      <c r="Y22" s="257"/>
      <c r="Z22" s="263"/>
      <c r="AA22" s="262" t="str">
        <f>IF(SUM(D22)=0,"",IF(E22="MS",SUM(((C22*D22)/1000000)*F22),SUM(((C22*D22)/1000000))))</f>
        <v/>
      </c>
      <c r="AE22" s="198"/>
      <c r="AH22" s="7" t="str">
        <f t="shared" si="13"/>
        <v>AluminiumProductInOut</v>
      </c>
      <c r="AK22" s="7" t="e">
        <f t="shared" si="14"/>
        <v>#N/A</v>
      </c>
      <c r="AL22" s="7" t="e">
        <f t="shared" si="1"/>
        <v>#N/A</v>
      </c>
      <c r="AT22" s="7" t="e">
        <f t="shared" si="2"/>
        <v>#N/A</v>
      </c>
      <c r="AU22" s="7" t="b">
        <f>IF(L22=Data!$CD$1,Data!$CF$1, IF(L22=Data!$CD$2,Data!$CG$1,IF(L22=Data!$CD$3,Data!$CH$1,IF(L22=Data!$CD$4,Data!$CI$1,IF(L22=Data!$CD$5,Data!$CJ$1)))))</f>
        <v>0</v>
      </c>
      <c r="AV22" s="121" t="b">
        <f>IF(E22=Data!$E$1,Data!$A$1,IF('Eco Aluminium External Shutters'!E22=Data!$E$2,Data!$B$1,IF('Eco Aluminium External Shutters'!E22=Data!$E$3,Data!$C$1)))</f>
        <v>0</v>
      </c>
      <c r="AW22" s="121" t="b">
        <f>IF(E22=Data!$E$1,Data!$G$1, IF(E22=Data!$E$2,Data!$H$1, IF(E22=Data!$E$3,Data!$I$1)))</f>
        <v>0</v>
      </c>
      <c r="AX22" s="121" t="b">
        <f>IF(E22=Data!$E$1,Data!$K$1,IF(E22=Data!$E$2,Data!$L$1, IF(E22=Data!$E$3,Data!$M$1)))</f>
        <v>0</v>
      </c>
      <c r="AY22" s="121" t="b">
        <f>IF(E22=Data!$E$1,Data!$O$1, IF(E22=Data!$E$2,Data!$P$1, IF(E22=Data!$E$3,Data!$Q$1)))</f>
        <v>0</v>
      </c>
      <c r="AZ22" s="121" t="b">
        <f>IF(L22=Data!$AJ$2,Data!$AK$1,IF(L22=Data!$AJ$3,Data!$AL$1,IF(L22=Data!$AJ$4,Data!$AM$1,IF(L22=Data!$AJ$5,Data!$AN$1,IF(L22=Data!$AJ$6,Data!$AO$1, IF(L22=Data!$AJ$7,Data!$AP$1,IF(L22=Data!$AJ$8,Data!$AQ$1)))))))</f>
        <v>0</v>
      </c>
      <c r="BA22" s="121" t="b">
        <f>IF(L22=Data!$BO$1,Data!$BP$1, IF(L22=Data!$BO$2,Data!$BQ$1, IF(L22=Data!$BO$3,Data!$BR$1, IF(L22=Data!$BO$4,Data!$BS$1, IF(L22=Data!$BO$5,Data!$BT$1)))))</f>
        <v>0</v>
      </c>
      <c r="BB22" s="122">
        <f t="shared" si="35"/>
        <v>0</v>
      </c>
      <c r="BC22" s="122" t="e">
        <f>VLOOKUP(M22,Data!$AY$2:$AZ$120,2,FALSE)</f>
        <v>#N/A</v>
      </c>
      <c r="BD22" s="122" t="e">
        <f t="shared" si="36"/>
        <v>#N/A</v>
      </c>
      <c r="BE22" s="130" t="str">
        <f>IF(OR(AND(P22="",O22&lt;&gt;"")),VLOOKUP(O22,Data!$BC$2:$BD$6,2,FALSE),"")</f>
        <v/>
      </c>
      <c r="BF22" s="130" t="str">
        <f>IF(OR(AND(Q22="",O22&lt;&gt;"")),VLOOKUP(O22,Data!$BC$2:$BD$6,2,FALSE),"")</f>
        <v/>
      </c>
      <c r="BG22" s="130" t="str">
        <f>IF(OR(AND(R22="",O22&lt;&gt;"")),VLOOKUP(O22,Data!$BC$2:$BD$6,2,FALSE),"")</f>
        <v/>
      </c>
      <c r="BH22" s="130" t="str">
        <f>IF(OR(AND(S22="",O22&lt;&gt;"")),VLOOKUP(O22,Data!$BC$2:$BD$6,2,FALSE),"")</f>
        <v/>
      </c>
      <c r="BI22" s="132" t="b">
        <f>IF(L22=Data!$BF$2,Data!$BG$1, IF(L22=Data!$BF$3,Data!$BH$1, IF(L22=Data!$BF$4,Data!$BI$1, IF(L22=Data!$BF$5,Data!$BJ$1, IF(L22=Data!$BF$6,Data!$BK$1)))))</f>
        <v>0</v>
      </c>
      <c r="BJ22" s="132" t="str">
        <f>IF(OR(AND(D22&lt;830, Y22=Data!$BM$1)),"Yes","No")</f>
        <v>No</v>
      </c>
      <c r="BK22" s="132" t="e">
        <f>VLOOKUP(L22,Data!$BZ$1:$CA$5,2,FALSE)</f>
        <v>#N/A</v>
      </c>
      <c r="BL22" s="132" t="e">
        <f t="shared" si="37"/>
        <v>#DIV/0!</v>
      </c>
      <c r="BM22" s="132" t="e">
        <f t="shared" si="38"/>
        <v>#N/A</v>
      </c>
      <c r="BN22" s="132" t="e">
        <f t="shared" si="39"/>
        <v>#N/A</v>
      </c>
      <c r="BO22" s="188" t="str">
        <f>IF(SUM(--ISNUMBER( SEARCH({"t","T"},M22))),"Yes","No")</f>
        <v>No</v>
      </c>
      <c r="BP22" s="188" t="e">
        <f>VLOOKUP(T22,Data!$CL$2:$CO$9,2,FALSE)</f>
        <v>#N/A</v>
      </c>
      <c r="BQ22" s="188" t="e">
        <f>VLOOKUP(T22,Data!$CL$2:$CO$9,3,FALSE)</f>
        <v>#N/A</v>
      </c>
      <c r="BR22" s="188" t="e">
        <f>VLOOKUP(T22,Data!$CL$2:$CO$9,4,FALSE)</f>
        <v>#N/A</v>
      </c>
      <c r="BS22" s="132" t="e">
        <f t="shared" si="40"/>
        <v>#N/A</v>
      </c>
      <c r="BT22" s="132" t="e">
        <f t="shared" si="41"/>
        <v>#N/A</v>
      </c>
      <c r="BU22" s="132" t="e">
        <f t="shared" si="42"/>
        <v>#N/A</v>
      </c>
      <c r="BV22" s="132" t="str">
        <f t="shared" si="43"/>
        <v/>
      </c>
      <c r="BW22" s="132" t="str">
        <f t="shared" si="44"/>
        <v>No</v>
      </c>
      <c r="BX22" s="132" t="str">
        <f t="shared" si="45"/>
        <v>No</v>
      </c>
      <c r="BY22" s="132" t="str">
        <f t="shared" si="46"/>
        <v>No</v>
      </c>
      <c r="CF22" s="7" t="b">
        <f t="shared" si="34"/>
        <v>0</v>
      </c>
      <c r="CR22" s="7" t="e">
        <f t="shared" si="23"/>
        <v>#N/A</v>
      </c>
      <c r="CS22" s="7" t="e">
        <f t="shared" si="24"/>
        <v>#N/A</v>
      </c>
      <c r="CT22" s="7" t="e">
        <f t="shared" si="25"/>
        <v>#N/A</v>
      </c>
      <c r="DB22" s="7" t="e">
        <f t="shared" si="7"/>
        <v>#N/A</v>
      </c>
      <c r="DH22" s="7" t="e">
        <f t="shared" si="8"/>
        <v>#N/A</v>
      </c>
      <c r="DS22" s="7" t="e">
        <f t="shared" si="10"/>
        <v>#N/A</v>
      </c>
      <c r="DW22" s="7" t="e">
        <f t="shared" si="11"/>
        <v>#N/A</v>
      </c>
      <c r="DX22" s="7" t="e">
        <f t="shared" si="12"/>
        <v>#N/A</v>
      </c>
      <c r="DZ22" s="7" t="str">
        <f t="shared" si="26"/>
        <v>EcoExternalAluminiumColour</v>
      </c>
      <c r="EI22" s="7">
        <f>IF(T22="",0, VLOOKUP(M22,Data!$AY$3:$BA$120,3,FALSE))</f>
        <v>0</v>
      </c>
      <c r="EJ22" s="7">
        <f t="shared" si="28"/>
        <v>0</v>
      </c>
      <c r="EP22" s="7" t="e">
        <f t="shared" si="29"/>
        <v>#N/A</v>
      </c>
      <c r="ES22" s="7" t="e">
        <f t="shared" si="30"/>
        <v>#N/A</v>
      </c>
      <c r="FA22" s="7" t="e">
        <f t="shared" si="31"/>
        <v>#N/A</v>
      </c>
      <c r="FB22" s="7" t="e">
        <f t="shared" si="32"/>
        <v>#N/A</v>
      </c>
      <c r="FC22" s="7" t="e">
        <f t="shared" si="33"/>
        <v>#N/A</v>
      </c>
    </row>
    <row r="23" spans="1:159" ht="26.25" customHeight="1" thickBot="1" x14ac:dyDescent="0.25">
      <c r="A23" s="20">
        <v>15</v>
      </c>
      <c r="B23" s="264"/>
      <c r="C23" s="265"/>
      <c r="D23" s="264"/>
      <c r="E23" s="265"/>
      <c r="F23" s="266"/>
      <c r="G23" s="266"/>
      <c r="H23" s="265"/>
      <c r="I23" s="265"/>
      <c r="J23" s="267"/>
      <c r="K23" s="267"/>
      <c r="L23" s="268"/>
      <c r="M23" s="267"/>
      <c r="N23" s="269"/>
      <c r="O23" s="269"/>
      <c r="P23" s="270"/>
      <c r="Q23" s="270"/>
      <c r="R23" s="270"/>
      <c r="S23" s="270"/>
      <c r="T23" s="270"/>
      <c r="U23" s="265"/>
      <c r="V23" s="265"/>
      <c r="W23" s="265"/>
      <c r="X23" s="271"/>
      <c r="Y23" s="269"/>
      <c r="Z23" s="272"/>
      <c r="AA23" s="273" t="str">
        <f>IF(SUM(D23)=0,"",IF(E23="MS",SUM(((C23*D23)/1000000)*F23),SUM(((C23*D23)/1000000))))</f>
        <v/>
      </c>
      <c r="AE23" s="198"/>
      <c r="AH23" s="7" t="str">
        <f t="shared" si="13"/>
        <v>AluminiumProductInOut</v>
      </c>
      <c r="AK23" s="7" t="e">
        <f t="shared" si="14"/>
        <v>#N/A</v>
      </c>
      <c r="AL23" s="7" t="e">
        <f t="shared" si="1"/>
        <v>#N/A</v>
      </c>
      <c r="AT23" s="7" t="e">
        <f t="shared" si="2"/>
        <v>#N/A</v>
      </c>
      <c r="AU23" s="7" t="b">
        <f>IF(L23=Data!$CD$1,Data!$CF$1, IF(L23=Data!$CD$2,Data!$CG$1,IF(L23=Data!$CD$3,Data!$CH$1,IF(L23=Data!$CD$4,Data!$CI$1,IF(L23=Data!$CD$5,Data!$CJ$1)))))</f>
        <v>0</v>
      </c>
      <c r="AV23" s="121" t="b">
        <f>IF(E23=Data!$E$1,Data!$A$1,IF('Eco Aluminium External Shutters'!E23=Data!$E$2,Data!$B$1,IF('Eco Aluminium External Shutters'!E23=Data!$E$3,Data!$C$1)))</f>
        <v>0</v>
      </c>
      <c r="AW23" s="121" t="b">
        <f>IF(E23=Data!$E$1,Data!$G$1, IF(E23=Data!$E$2,Data!$H$1, IF(E23=Data!$E$3,Data!$I$1)))</f>
        <v>0</v>
      </c>
      <c r="AX23" s="121" t="b">
        <f>IF(E23=Data!$E$1,Data!$K$1,IF(E23=Data!$E$2,Data!$L$1, IF(E23=Data!$E$3,Data!$M$1)))</f>
        <v>0</v>
      </c>
      <c r="AY23" s="121" t="b">
        <f>IF(E23=Data!$E$1,Data!$O$1, IF(E23=Data!$E$2,Data!$P$1, IF(E23=Data!$E$3,Data!$Q$1)))</f>
        <v>0</v>
      </c>
      <c r="AZ23" s="121" t="b">
        <f>IF(L23=Data!$AJ$2,Data!$AK$1,IF(L23=Data!$AJ$3,Data!$AL$1,IF(L23=Data!$AJ$4,Data!$AM$1,IF(L23=Data!$AJ$5,Data!$AN$1,IF(L23=Data!$AJ$6,Data!$AO$1, IF(L23=Data!$AJ$7,Data!$AP$1,IF(L23=Data!$AJ$8,Data!$AQ$1)))))))</f>
        <v>0</v>
      </c>
      <c r="BA23" s="121" t="b">
        <f>IF(L23=Data!$BO$1,Data!$BP$1, IF(L23=Data!$BO$2,Data!$BQ$1, IF(L23=Data!$BO$3,Data!$BR$1, IF(L23=Data!$BO$4,Data!$BS$1, IF(L23=Data!$BO$5,Data!$BT$1)))))</f>
        <v>0</v>
      </c>
      <c r="BB23" s="122">
        <f t="shared" si="35"/>
        <v>0</v>
      </c>
      <c r="BC23" s="122" t="e">
        <f>VLOOKUP(M23,Data!$AY$2:$AZ$120,2,FALSE)</f>
        <v>#N/A</v>
      </c>
      <c r="BD23" s="122" t="e">
        <f t="shared" si="36"/>
        <v>#N/A</v>
      </c>
      <c r="BE23" s="130" t="str">
        <f>IF(OR(AND(P23="",O23&lt;&gt;"")),VLOOKUP(O23,Data!$BC$2:$BD$6,2,FALSE),"")</f>
        <v/>
      </c>
      <c r="BF23" s="130" t="str">
        <f>IF(OR(AND(Q23="",O23&lt;&gt;"")),VLOOKUP(O23,Data!$BC$2:$BD$6,2,FALSE),"")</f>
        <v/>
      </c>
      <c r="BG23" s="130" t="str">
        <f>IF(OR(AND(R23="",O23&lt;&gt;"")),VLOOKUP(O23,Data!$BC$2:$BD$6,2,FALSE),"")</f>
        <v/>
      </c>
      <c r="BH23" s="130" t="str">
        <f>IF(OR(AND(S23="",O23&lt;&gt;"")),VLOOKUP(O23,Data!$BC$2:$BD$6,2,FALSE),"")</f>
        <v/>
      </c>
      <c r="BI23" s="132" t="b">
        <f>IF(L23=Data!$BF$2,Data!$BG$1, IF(L23=Data!$BF$3,Data!$BH$1, IF(L23=Data!$BF$4,Data!$BI$1, IF(L23=Data!$BF$5,Data!$BJ$1, IF(L23=Data!$BF$6,Data!$BK$1)))))</f>
        <v>0</v>
      </c>
      <c r="BJ23" s="132" t="str">
        <f>IF(OR(AND(D23&lt;830, Y23=Data!$BM$1)),"Yes","No")</f>
        <v>No</v>
      </c>
      <c r="BK23" s="132" t="e">
        <f>VLOOKUP(L23,Data!$BZ$1:$CA$5,2,FALSE)</f>
        <v>#N/A</v>
      </c>
      <c r="BL23" s="132" t="e">
        <f t="shared" si="37"/>
        <v>#DIV/0!</v>
      </c>
      <c r="BM23" s="132" t="e">
        <f t="shared" si="38"/>
        <v>#N/A</v>
      </c>
      <c r="BN23" s="132" t="e">
        <f t="shared" si="39"/>
        <v>#N/A</v>
      </c>
      <c r="BO23" s="188" t="str">
        <f>IF(SUM(--ISNUMBER( SEARCH({"t","T"},M23))),"Yes","No")</f>
        <v>No</v>
      </c>
      <c r="BP23" s="188" t="e">
        <f>VLOOKUP(T23,Data!$CL$2:$CO$9,2,FALSE)</f>
        <v>#N/A</v>
      </c>
      <c r="BQ23" s="188" t="e">
        <f>VLOOKUP(T23,Data!$CL$2:$CO$9,3,FALSE)</f>
        <v>#N/A</v>
      </c>
      <c r="BR23" s="188" t="e">
        <f>VLOOKUP(T23,Data!$CL$2:$CO$9,4,FALSE)</f>
        <v>#N/A</v>
      </c>
      <c r="BS23" s="132" t="e">
        <f t="shared" si="40"/>
        <v>#N/A</v>
      </c>
      <c r="BT23" s="132" t="e">
        <f t="shared" si="41"/>
        <v>#N/A</v>
      </c>
      <c r="BU23" s="132" t="e">
        <f t="shared" si="42"/>
        <v>#N/A</v>
      </c>
      <c r="BV23" s="132" t="str">
        <f t="shared" si="43"/>
        <v/>
      </c>
      <c r="BW23" s="132" t="str">
        <f t="shared" si="44"/>
        <v>No</v>
      </c>
      <c r="BX23" s="132" t="str">
        <f t="shared" si="45"/>
        <v>No</v>
      </c>
      <c r="BY23" s="132" t="str">
        <f t="shared" si="46"/>
        <v>No</v>
      </c>
      <c r="CF23" s="7" t="b">
        <f t="shared" si="34"/>
        <v>0</v>
      </c>
      <c r="CR23" s="7" t="e">
        <f t="shared" si="23"/>
        <v>#N/A</v>
      </c>
      <c r="CS23" s="7" t="e">
        <f t="shared" si="24"/>
        <v>#N/A</v>
      </c>
      <c r="CT23" s="7" t="e">
        <f t="shared" si="25"/>
        <v>#N/A</v>
      </c>
      <c r="DB23" s="7" t="e">
        <f t="shared" si="7"/>
        <v>#N/A</v>
      </c>
      <c r="DH23" s="7" t="e">
        <f t="shared" si="8"/>
        <v>#N/A</v>
      </c>
      <c r="DS23" s="7" t="e">
        <f t="shared" si="10"/>
        <v>#N/A</v>
      </c>
      <c r="DW23" s="7" t="e">
        <f t="shared" si="11"/>
        <v>#N/A</v>
      </c>
      <c r="DX23" s="7" t="e">
        <f t="shared" si="12"/>
        <v>#N/A</v>
      </c>
      <c r="DZ23" s="7" t="str">
        <f t="shared" si="26"/>
        <v>EcoExternalAluminiumColour</v>
      </c>
      <c r="EI23" s="7">
        <f>IF(T23="",0, VLOOKUP(M23,Data!$AY$3:$BA$120,3,FALSE))</f>
        <v>0</v>
      </c>
      <c r="EJ23" s="7">
        <f t="shared" si="28"/>
        <v>0</v>
      </c>
      <c r="EP23" s="7" t="e">
        <f>VLOOKUP(H23,$EL$9:$EM$11,2,FALSE)</f>
        <v>#N/A</v>
      </c>
      <c r="ES23" s="7" t="e">
        <f t="shared" si="30"/>
        <v>#N/A</v>
      </c>
      <c r="FA23" s="7" t="e">
        <f t="shared" si="31"/>
        <v>#N/A</v>
      </c>
      <c r="FB23" s="7" t="e">
        <f t="shared" si="32"/>
        <v>#N/A</v>
      </c>
      <c r="FC23" s="7" t="e">
        <f t="shared" si="33"/>
        <v>#N/A</v>
      </c>
    </row>
    <row r="24" spans="1:159" ht="32.25" customHeight="1" thickBot="1" x14ac:dyDescent="0.4">
      <c r="A24" s="387" t="s">
        <v>459</v>
      </c>
      <c r="B24" s="388"/>
      <c r="C24" s="388"/>
      <c r="D24" s="388"/>
      <c r="E24" s="388"/>
      <c r="F24" s="388"/>
      <c r="G24" s="388"/>
      <c r="H24" s="389"/>
      <c r="I24" s="389"/>
      <c r="J24" s="389"/>
      <c r="K24" s="389"/>
      <c r="L24" s="389"/>
      <c r="M24" s="389"/>
      <c r="N24" s="389"/>
      <c r="O24" s="389"/>
      <c r="P24" s="389"/>
      <c r="Q24" s="389"/>
      <c r="R24" s="389"/>
      <c r="S24" s="389"/>
      <c r="T24" s="389"/>
      <c r="U24" s="389"/>
      <c r="V24" s="389"/>
      <c r="W24" s="389"/>
      <c r="X24" s="389"/>
      <c r="Y24" s="389"/>
      <c r="Z24" s="390"/>
      <c r="AA24" s="391"/>
      <c r="AT24" s="7" t="s">
        <v>525</v>
      </c>
      <c r="CR24" s="7" t="e">
        <f t="shared" si="23"/>
        <v>#N/A</v>
      </c>
      <c r="CS24" s="7" t="e">
        <f t="shared" si="24"/>
        <v>#N/A</v>
      </c>
      <c r="CT24" s="7" t="e">
        <f t="shared" si="25"/>
        <v>#N/A</v>
      </c>
      <c r="DB24" s="7" t="e">
        <f t="shared" si="7"/>
        <v>#N/A</v>
      </c>
      <c r="DH24" s="7" t="e">
        <f t="shared" si="8"/>
        <v>#N/A</v>
      </c>
      <c r="DW24" s="7" t="e">
        <f t="shared" si="11"/>
        <v>#N/A</v>
      </c>
      <c r="DX24" s="7" t="e">
        <f t="shared" si="12"/>
        <v>#N/A</v>
      </c>
      <c r="DZ24" s="7" t="str">
        <f t="shared" si="26"/>
        <v>EcoExternalAluminiumColour</v>
      </c>
      <c r="EI24" s="7">
        <f>IF(T24="",0, VLOOKUP(M24,Data!$AY$3:$BA$120,3,FALSE))</f>
        <v>0</v>
      </c>
      <c r="EJ24" s="7">
        <f t="shared" si="28"/>
        <v>0</v>
      </c>
      <c r="EP24" s="7" t="e">
        <f t="shared" si="29"/>
        <v>#N/A</v>
      </c>
      <c r="ES24" s="7" t="e">
        <f t="shared" si="30"/>
        <v>#N/A</v>
      </c>
      <c r="FA24" s="7" t="e">
        <f t="shared" si="31"/>
        <v>#N/A</v>
      </c>
      <c r="FB24" s="7" t="e">
        <f t="shared" si="32"/>
        <v>#N/A</v>
      </c>
      <c r="FC24" s="7" t="e">
        <f t="shared" si="33"/>
        <v>#N/A</v>
      </c>
    </row>
    <row r="25" spans="1:159" s="211" customFormat="1" ht="46.5" customHeight="1" x14ac:dyDescent="0.2">
      <c r="A25" s="345" t="s">
        <v>3</v>
      </c>
      <c r="B25" s="352" t="s">
        <v>552</v>
      </c>
      <c r="C25" s="354" t="s">
        <v>553</v>
      </c>
      <c r="D25" s="354" t="s">
        <v>376</v>
      </c>
      <c r="E25" s="354" t="s">
        <v>554</v>
      </c>
      <c r="F25" s="340" t="s">
        <v>377</v>
      </c>
      <c r="G25" s="340"/>
      <c r="H25" s="340"/>
      <c r="I25" s="340"/>
      <c r="J25" s="368" t="s">
        <v>293</v>
      </c>
      <c r="K25" s="368"/>
      <c r="L25" s="368"/>
      <c r="M25" s="368"/>
      <c r="N25" s="368" t="s">
        <v>294</v>
      </c>
      <c r="O25" s="368"/>
      <c r="P25" s="368"/>
      <c r="Q25" s="358" t="s">
        <v>291</v>
      </c>
      <c r="R25" s="358"/>
      <c r="S25" s="358"/>
      <c r="T25" s="358"/>
      <c r="U25" s="358"/>
      <c r="V25" s="371" t="s">
        <v>292</v>
      </c>
      <c r="W25" s="371"/>
      <c r="X25" s="371"/>
      <c r="Y25" s="371"/>
      <c r="Z25" s="371"/>
      <c r="AA25" s="372"/>
      <c r="AO25" s="7"/>
      <c r="AP25" s="7"/>
      <c r="AQ25" s="7"/>
      <c r="AU25" s="211" t="s">
        <v>451</v>
      </c>
      <c r="BA25" s="211" t="s">
        <v>444</v>
      </c>
      <c r="BB25" s="211" t="s">
        <v>445</v>
      </c>
      <c r="BC25" s="211" t="s">
        <v>448</v>
      </c>
      <c r="BD25" s="211" t="s">
        <v>516</v>
      </c>
      <c r="BG25" s="212"/>
      <c r="CU25" s="7"/>
      <c r="CV25" s="7"/>
      <c r="CW25" s="7"/>
      <c r="CX25" s="7"/>
      <c r="DI25" s="7"/>
      <c r="DJ25" s="7"/>
      <c r="DK25" s="7"/>
      <c r="DL25" s="7"/>
    </row>
    <row r="26" spans="1:159" s="211" customFormat="1" ht="22.5" customHeight="1" thickBot="1" x14ac:dyDescent="0.25">
      <c r="A26" s="346"/>
      <c r="B26" s="353"/>
      <c r="C26" s="355"/>
      <c r="D26" s="355"/>
      <c r="E26" s="355"/>
      <c r="F26" s="220" t="s">
        <v>62</v>
      </c>
      <c r="G26" s="220" t="s">
        <v>124</v>
      </c>
      <c r="H26" s="220" t="s">
        <v>61</v>
      </c>
      <c r="I26" s="220" t="s">
        <v>7</v>
      </c>
      <c r="J26" s="369"/>
      <c r="K26" s="369"/>
      <c r="L26" s="369"/>
      <c r="M26" s="369"/>
      <c r="N26" s="369"/>
      <c r="O26" s="369"/>
      <c r="P26" s="369"/>
      <c r="Q26" s="221" t="s">
        <v>62</v>
      </c>
      <c r="R26" s="370" t="s">
        <v>61</v>
      </c>
      <c r="S26" s="370"/>
      <c r="T26" s="370"/>
      <c r="U26" s="370"/>
      <c r="V26" s="373"/>
      <c r="W26" s="373"/>
      <c r="X26" s="373"/>
      <c r="Y26" s="373"/>
      <c r="Z26" s="373"/>
      <c r="AA26" s="374"/>
      <c r="AP26" s="211" t="s">
        <v>539</v>
      </c>
      <c r="AQ26" s="211" t="s">
        <v>537</v>
      </c>
      <c r="AR26" s="211" t="s">
        <v>536</v>
      </c>
      <c r="AS26" s="211" t="s">
        <v>535</v>
      </c>
      <c r="AT26" s="211" t="s">
        <v>534</v>
      </c>
      <c r="AU26" s="211" t="s">
        <v>375</v>
      </c>
      <c r="AV26" s="211" t="s">
        <v>416</v>
      </c>
      <c r="AW26" s="211" t="s">
        <v>417</v>
      </c>
      <c r="AX26" s="211" t="s">
        <v>538</v>
      </c>
      <c r="AZ26" s="211" t="s">
        <v>538</v>
      </c>
      <c r="BA26" s="224" t="s">
        <v>427</v>
      </c>
      <c r="BB26" s="19" t="s">
        <v>515</v>
      </c>
      <c r="BC26" s="211" t="s">
        <v>277</v>
      </c>
      <c r="BD26" s="211" t="s">
        <v>72</v>
      </c>
      <c r="BE26" s="211" t="s">
        <v>427</v>
      </c>
      <c r="BF26" s="211" t="str">
        <f>$EB$8</f>
        <v>EcoExternalAluminiumColourAll</v>
      </c>
      <c r="BG26" s="211" t="s">
        <v>517</v>
      </c>
    </row>
    <row r="27" spans="1:159" s="19" customFormat="1" ht="22.5" customHeight="1" thickTop="1" x14ac:dyDescent="0.2">
      <c r="A27" s="239">
        <v>1</v>
      </c>
      <c r="B27" s="274"/>
      <c r="C27" s="241"/>
      <c r="D27" s="241"/>
      <c r="E27" s="275"/>
      <c r="F27" s="276"/>
      <c r="G27" s="241"/>
      <c r="H27" s="276"/>
      <c r="I27" s="240"/>
      <c r="J27" s="341"/>
      <c r="K27" s="341"/>
      <c r="L27" s="341"/>
      <c r="M27" s="341"/>
      <c r="N27" s="341"/>
      <c r="O27" s="341"/>
      <c r="P27" s="341"/>
      <c r="Q27" s="277"/>
      <c r="R27" s="328"/>
      <c r="S27" s="328"/>
      <c r="T27" s="328"/>
      <c r="U27" s="329"/>
      <c r="V27" s="359"/>
      <c r="W27" s="360"/>
      <c r="X27" s="360"/>
      <c r="Y27" s="360"/>
      <c r="Z27" s="360"/>
      <c r="AA27" s="361"/>
      <c r="AO27" s="211"/>
      <c r="AP27" s="211" t="str">
        <f>IF(H9=$AT$24,$AR$26,$AQ$26)</f>
        <v>LourveLock</v>
      </c>
      <c r="AQ27" s="211" t="s">
        <v>30</v>
      </c>
      <c r="AR27" s="19" t="s">
        <v>26</v>
      </c>
      <c r="AS27" s="19" t="s">
        <v>30</v>
      </c>
      <c r="AT27" s="238" t="str">
        <f>IF(H9=$AT$24,$AR$26,$AS$26)</f>
        <v>SecurityLock</v>
      </c>
      <c r="AU27" s="132" t="str">
        <f t="shared" ref="AU27:AU41" si="47">IF(B27=$AU$25,$AV$26,$AW$26)</f>
        <v>SecurityLockNo</v>
      </c>
      <c r="AV27" s="132" t="s">
        <v>158</v>
      </c>
      <c r="AW27" s="132" t="s">
        <v>26</v>
      </c>
      <c r="AX27" s="132" t="str">
        <f>IF(H9=$AT$24,$AR$26,$AZ$26)</f>
        <v>KeyLock</v>
      </c>
      <c r="AZ27" s="19" t="s">
        <v>30</v>
      </c>
      <c r="BA27" s="118" t="s">
        <v>420</v>
      </c>
      <c r="BB27" s="224" t="s">
        <v>438</v>
      </c>
      <c r="BC27" s="19" t="s">
        <v>278</v>
      </c>
      <c r="BD27" s="19" t="s">
        <v>451</v>
      </c>
      <c r="BE27" s="19" t="s">
        <v>420</v>
      </c>
      <c r="BF27" s="211" t="str">
        <f t="shared" ref="BF27:BF37" si="48">$EB$8</f>
        <v>EcoExternalAluminiumColourAll</v>
      </c>
      <c r="BG27" s="19" t="e">
        <f t="shared" ref="BG27:BG41" si="49">VLOOKUP(H27,$BE$26:$BF$47,2,FALSE)</f>
        <v>#N/A</v>
      </c>
      <c r="CU27" s="211"/>
      <c r="CV27" s="211"/>
      <c r="CW27" s="211"/>
      <c r="CX27" s="211"/>
      <c r="DI27" s="211"/>
      <c r="DJ27" s="211"/>
      <c r="DK27" s="211"/>
      <c r="DL27" s="211"/>
    </row>
    <row r="28" spans="1:159" s="19" customFormat="1" ht="23.1" customHeight="1" x14ac:dyDescent="0.2">
      <c r="A28" s="14">
        <v>2</v>
      </c>
      <c r="B28" s="278"/>
      <c r="C28" s="260"/>
      <c r="D28" s="260"/>
      <c r="E28" s="279"/>
      <c r="F28" s="242"/>
      <c r="G28" s="254"/>
      <c r="H28" s="280"/>
      <c r="I28" s="281"/>
      <c r="J28" s="322"/>
      <c r="K28" s="322"/>
      <c r="L28" s="322"/>
      <c r="M28" s="322"/>
      <c r="N28" s="322"/>
      <c r="O28" s="322"/>
      <c r="P28" s="322"/>
      <c r="Q28" s="282"/>
      <c r="R28" s="326"/>
      <c r="S28" s="326"/>
      <c r="T28" s="326"/>
      <c r="U28" s="327"/>
      <c r="V28" s="362"/>
      <c r="W28" s="363"/>
      <c r="X28" s="363"/>
      <c r="Y28" s="363"/>
      <c r="Z28" s="363"/>
      <c r="AA28" s="364"/>
      <c r="AP28" s="211" t="str">
        <f t="shared" ref="AP28:AP41" si="50">IF(H10=$AT$24,$AR$26,$AQ$26)</f>
        <v>LourveLock</v>
      </c>
      <c r="AQ28" s="19" t="s">
        <v>19</v>
      </c>
      <c r="AS28" s="19" t="s">
        <v>451</v>
      </c>
      <c r="AT28" s="238" t="str">
        <f t="shared" ref="AT28:AT41" si="51">IF(H10=$AT$24,$AR$26,$AS$26)</f>
        <v>SecurityLock</v>
      </c>
      <c r="AU28" s="132" t="str">
        <f t="shared" si="47"/>
        <v>SecurityLockNo</v>
      </c>
      <c r="AV28" s="132" t="s">
        <v>22</v>
      </c>
      <c r="AW28" s="132"/>
      <c r="AX28" s="132" t="str">
        <f t="shared" ref="AX28:AX41" si="52">IF(H10=$AT$24,$AR$26,$AZ$26)</f>
        <v>KeyLock</v>
      </c>
      <c r="AZ28" s="19" t="s">
        <v>451</v>
      </c>
      <c r="BA28" s="118" t="s">
        <v>419</v>
      </c>
      <c r="BB28" s="224" t="s">
        <v>437</v>
      </c>
      <c r="BC28" s="19" t="s">
        <v>286</v>
      </c>
      <c r="BD28" s="19" t="s">
        <v>383</v>
      </c>
      <c r="BE28" s="19" t="s">
        <v>419</v>
      </c>
      <c r="BF28" s="211" t="str">
        <f t="shared" si="48"/>
        <v>EcoExternalAluminiumColourAll</v>
      </c>
      <c r="BG28" s="19" t="e">
        <f t="shared" si="49"/>
        <v>#N/A</v>
      </c>
    </row>
    <row r="29" spans="1:159" s="19" customFormat="1" ht="23.1" customHeight="1" x14ac:dyDescent="0.2">
      <c r="A29" s="24">
        <v>3</v>
      </c>
      <c r="B29" s="278"/>
      <c r="C29" s="260"/>
      <c r="D29" s="260"/>
      <c r="E29" s="279"/>
      <c r="F29" s="242"/>
      <c r="G29" s="254"/>
      <c r="H29" s="280"/>
      <c r="I29" s="281"/>
      <c r="J29" s="322"/>
      <c r="K29" s="322"/>
      <c r="L29" s="322"/>
      <c r="M29" s="322"/>
      <c r="N29" s="322"/>
      <c r="O29" s="322"/>
      <c r="P29" s="322"/>
      <c r="Q29" s="282"/>
      <c r="R29" s="326"/>
      <c r="S29" s="326"/>
      <c r="T29" s="326"/>
      <c r="U29" s="327"/>
      <c r="V29" s="362"/>
      <c r="W29" s="363"/>
      <c r="X29" s="363"/>
      <c r="Y29" s="363"/>
      <c r="Z29" s="363"/>
      <c r="AA29" s="364"/>
      <c r="AP29" s="211" t="str">
        <f t="shared" si="50"/>
        <v>LourveLock</v>
      </c>
      <c r="AT29" s="238" t="str">
        <f t="shared" si="51"/>
        <v>SecurityLock</v>
      </c>
      <c r="AU29" s="132" t="str">
        <f t="shared" si="47"/>
        <v>SecurityLockNo</v>
      </c>
      <c r="AV29" s="132" t="s">
        <v>418</v>
      </c>
      <c r="AW29" s="132"/>
      <c r="AX29" s="132" t="str">
        <f t="shared" si="52"/>
        <v>KeyLock</v>
      </c>
      <c r="AZ29" s="19" t="s">
        <v>383</v>
      </c>
      <c r="BA29" s="118" t="s">
        <v>422</v>
      </c>
      <c r="BB29" s="225" t="s">
        <v>443</v>
      </c>
      <c r="BC29" s="19" t="s">
        <v>287</v>
      </c>
      <c r="BD29" s="7" t="s">
        <v>505</v>
      </c>
      <c r="BE29" s="19" t="s">
        <v>422</v>
      </c>
      <c r="BF29" s="211" t="str">
        <f t="shared" si="48"/>
        <v>EcoExternalAluminiumColourAll</v>
      </c>
      <c r="BG29" s="19" t="e">
        <f t="shared" si="49"/>
        <v>#N/A</v>
      </c>
    </row>
    <row r="30" spans="1:159" s="19" customFormat="1" ht="23.1" customHeight="1" x14ac:dyDescent="0.2">
      <c r="A30" s="23">
        <v>4</v>
      </c>
      <c r="B30" s="278"/>
      <c r="C30" s="260"/>
      <c r="D30" s="260"/>
      <c r="E30" s="279"/>
      <c r="F30" s="242"/>
      <c r="G30" s="254"/>
      <c r="H30" s="280"/>
      <c r="I30" s="281"/>
      <c r="J30" s="322"/>
      <c r="K30" s="322"/>
      <c r="L30" s="322"/>
      <c r="M30" s="322"/>
      <c r="N30" s="322"/>
      <c r="O30" s="322"/>
      <c r="P30" s="322"/>
      <c r="Q30" s="282"/>
      <c r="R30" s="326"/>
      <c r="S30" s="326"/>
      <c r="T30" s="326"/>
      <c r="U30" s="327"/>
      <c r="V30" s="362"/>
      <c r="W30" s="363"/>
      <c r="X30" s="363"/>
      <c r="Y30" s="363"/>
      <c r="Z30" s="363"/>
      <c r="AA30" s="364"/>
      <c r="AP30" s="211" t="str">
        <f t="shared" si="50"/>
        <v>LourveLock</v>
      </c>
      <c r="AT30" s="238" t="str">
        <f t="shared" si="51"/>
        <v>SecurityLock</v>
      </c>
      <c r="AU30" s="132" t="str">
        <f t="shared" si="47"/>
        <v>SecurityLockNo</v>
      </c>
      <c r="AV30" s="132"/>
      <c r="AW30" s="132"/>
      <c r="AX30" s="132" t="str">
        <f t="shared" si="52"/>
        <v>KeyLock</v>
      </c>
      <c r="BA30" s="118" t="s">
        <v>421</v>
      </c>
      <c r="BB30" s="225" t="s">
        <v>442</v>
      </c>
      <c r="BC30" s="19" t="s">
        <v>282</v>
      </c>
      <c r="BE30" s="19" t="s">
        <v>421</v>
      </c>
      <c r="BF30" s="211" t="str">
        <f t="shared" si="48"/>
        <v>EcoExternalAluminiumColourAll</v>
      </c>
      <c r="BG30" s="19" t="e">
        <f t="shared" si="49"/>
        <v>#N/A</v>
      </c>
    </row>
    <row r="31" spans="1:159" s="19" customFormat="1" ht="23.1" customHeight="1" x14ac:dyDescent="0.2">
      <c r="A31" s="24">
        <v>5</v>
      </c>
      <c r="B31" s="278"/>
      <c r="C31" s="260"/>
      <c r="D31" s="260"/>
      <c r="E31" s="279"/>
      <c r="F31" s="242"/>
      <c r="G31" s="254"/>
      <c r="H31" s="280"/>
      <c r="I31" s="281"/>
      <c r="J31" s="322"/>
      <c r="K31" s="322"/>
      <c r="L31" s="322"/>
      <c r="M31" s="322"/>
      <c r="N31" s="322"/>
      <c r="O31" s="322"/>
      <c r="P31" s="322"/>
      <c r="Q31" s="282"/>
      <c r="R31" s="326"/>
      <c r="S31" s="326"/>
      <c r="T31" s="326"/>
      <c r="U31" s="327"/>
      <c r="V31" s="362"/>
      <c r="W31" s="363"/>
      <c r="X31" s="363"/>
      <c r="Y31" s="363"/>
      <c r="Z31" s="363"/>
      <c r="AA31" s="364"/>
      <c r="AP31" s="211" t="str">
        <f t="shared" si="50"/>
        <v>LourveLock</v>
      </c>
      <c r="AT31" s="238" t="str">
        <f t="shared" si="51"/>
        <v>SecurityLock</v>
      </c>
      <c r="AU31" s="132" t="str">
        <f t="shared" si="47"/>
        <v>SecurityLockNo</v>
      </c>
      <c r="AV31" s="132"/>
      <c r="AW31" s="132"/>
      <c r="AX31" s="132" t="str">
        <f t="shared" si="52"/>
        <v>KeyLock</v>
      </c>
      <c r="BA31" s="131" t="s">
        <v>515</v>
      </c>
      <c r="BB31" s="19" t="s">
        <v>446</v>
      </c>
      <c r="BC31" s="19" t="s">
        <v>283</v>
      </c>
      <c r="BE31" s="19" t="s">
        <v>515</v>
      </c>
      <c r="BF31" s="211" t="str">
        <f t="shared" si="48"/>
        <v>EcoExternalAluminiumColourAll</v>
      </c>
      <c r="BG31" s="19" t="e">
        <f t="shared" si="49"/>
        <v>#N/A</v>
      </c>
    </row>
    <row r="32" spans="1:159" s="19" customFormat="1" ht="23.1" customHeight="1" x14ac:dyDescent="0.2">
      <c r="A32" s="14">
        <v>6</v>
      </c>
      <c r="B32" s="278"/>
      <c r="C32" s="260"/>
      <c r="D32" s="260"/>
      <c r="E32" s="279"/>
      <c r="F32" s="242"/>
      <c r="G32" s="254"/>
      <c r="H32" s="280"/>
      <c r="I32" s="281"/>
      <c r="J32" s="322"/>
      <c r="K32" s="322"/>
      <c r="L32" s="322"/>
      <c r="M32" s="322"/>
      <c r="N32" s="322"/>
      <c r="O32" s="322"/>
      <c r="P32" s="322"/>
      <c r="Q32" s="282"/>
      <c r="R32" s="326"/>
      <c r="S32" s="326"/>
      <c r="T32" s="326"/>
      <c r="U32" s="327"/>
      <c r="V32" s="362"/>
      <c r="W32" s="363"/>
      <c r="X32" s="363"/>
      <c r="Y32" s="363"/>
      <c r="Z32" s="363"/>
      <c r="AA32" s="364"/>
      <c r="AP32" s="211" t="str">
        <f t="shared" si="50"/>
        <v>LourveLock</v>
      </c>
      <c r="AT32" s="238" t="str">
        <f t="shared" si="51"/>
        <v>SecurityLock</v>
      </c>
      <c r="AU32" s="132" t="str">
        <f t="shared" si="47"/>
        <v>SecurityLockNo</v>
      </c>
      <c r="AV32" s="132"/>
      <c r="AW32" s="132"/>
      <c r="AX32" s="132" t="str">
        <f t="shared" si="52"/>
        <v>KeyLock</v>
      </c>
      <c r="BA32" s="118" t="s">
        <v>423</v>
      </c>
      <c r="BB32" s="224" t="s">
        <v>434</v>
      </c>
      <c r="BC32" s="19" t="s">
        <v>284</v>
      </c>
      <c r="BE32" s="19" t="s">
        <v>423</v>
      </c>
      <c r="BF32" s="19" t="str">
        <f>$BD$25</f>
        <v>AluminiumExtrasLimitedColours</v>
      </c>
      <c r="BG32" s="19" t="e">
        <f t="shared" si="49"/>
        <v>#N/A</v>
      </c>
    </row>
    <row r="33" spans="1:116" s="19" customFormat="1" ht="23.1" customHeight="1" x14ac:dyDescent="0.2">
      <c r="A33" s="24">
        <v>7</v>
      </c>
      <c r="B33" s="278"/>
      <c r="C33" s="260"/>
      <c r="D33" s="260"/>
      <c r="E33" s="279"/>
      <c r="F33" s="242"/>
      <c r="G33" s="254"/>
      <c r="H33" s="280"/>
      <c r="I33" s="281"/>
      <c r="J33" s="322"/>
      <c r="K33" s="322"/>
      <c r="L33" s="322"/>
      <c r="M33" s="322"/>
      <c r="N33" s="322"/>
      <c r="O33" s="322"/>
      <c r="P33" s="322"/>
      <c r="Q33" s="282"/>
      <c r="R33" s="326"/>
      <c r="S33" s="326"/>
      <c r="T33" s="326"/>
      <c r="U33" s="327"/>
      <c r="V33" s="362"/>
      <c r="W33" s="363"/>
      <c r="X33" s="363"/>
      <c r="Y33" s="363"/>
      <c r="Z33" s="363"/>
      <c r="AA33" s="364"/>
      <c r="AP33" s="211" t="str">
        <f t="shared" si="50"/>
        <v>LourveLock</v>
      </c>
      <c r="AT33" s="238" t="str">
        <f t="shared" si="51"/>
        <v>SecurityLock</v>
      </c>
      <c r="AU33" s="132" t="str">
        <f t="shared" si="47"/>
        <v>SecurityLockNo</v>
      </c>
      <c r="AV33" s="132"/>
      <c r="AW33" s="132"/>
      <c r="AX33" s="132" t="str">
        <f t="shared" si="52"/>
        <v>KeyLock</v>
      </c>
      <c r="BA33" s="224" t="s">
        <v>425</v>
      </c>
      <c r="BB33" s="224" t="s">
        <v>433</v>
      </c>
      <c r="BE33" s="19" t="s">
        <v>425</v>
      </c>
      <c r="BF33" s="211" t="str">
        <f t="shared" si="48"/>
        <v>EcoExternalAluminiumColourAll</v>
      </c>
      <c r="BG33" s="19" t="e">
        <f t="shared" si="49"/>
        <v>#N/A</v>
      </c>
    </row>
    <row r="34" spans="1:116" s="19" customFormat="1" ht="23.1" customHeight="1" x14ac:dyDescent="0.2">
      <c r="A34" s="14">
        <v>8</v>
      </c>
      <c r="B34" s="278"/>
      <c r="C34" s="260"/>
      <c r="D34" s="260"/>
      <c r="E34" s="279"/>
      <c r="F34" s="242"/>
      <c r="G34" s="254"/>
      <c r="H34" s="280"/>
      <c r="I34" s="281"/>
      <c r="J34" s="322"/>
      <c r="K34" s="322"/>
      <c r="L34" s="322"/>
      <c r="M34" s="322"/>
      <c r="N34" s="322"/>
      <c r="O34" s="322"/>
      <c r="P34" s="322"/>
      <c r="Q34" s="282"/>
      <c r="R34" s="326"/>
      <c r="S34" s="326"/>
      <c r="T34" s="326"/>
      <c r="U34" s="327"/>
      <c r="V34" s="362"/>
      <c r="W34" s="363"/>
      <c r="X34" s="363"/>
      <c r="Y34" s="363"/>
      <c r="Z34" s="363"/>
      <c r="AA34" s="364"/>
      <c r="AP34" s="211" t="str">
        <f t="shared" si="50"/>
        <v>LourveLock</v>
      </c>
      <c r="AT34" s="238" t="str">
        <f t="shared" si="51"/>
        <v>SecurityLock</v>
      </c>
      <c r="AU34" s="132" t="str">
        <f t="shared" si="47"/>
        <v>SecurityLockNo</v>
      </c>
      <c r="AV34" s="132"/>
      <c r="AW34" s="132"/>
      <c r="AX34" s="132" t="str">
        <f t="shared" si="52"/>
        <v>KeyLock</v>
      </c>
      <c r="BA34" s="224" t="s">
        <v>426</v>
      </c>
      <c r="BB34" s="19" t="s">
        <v>447</v>
      </c>
      <c r="BE34" s="19" t="s">
        <v>426</v>
      </c>
      <c r="BF34" s="211" t="str">
        <f t="shared" si="48"/>
        <v>EcoExternalAluminiumColourAll</v>
      </c>
      <c r="BG34" s="19" t="e">
        <f t="shared" si="49"/>
        <v>#N/A</v>
      </c>
    </row>
    <row r="35" spans="1:116" s="19" customFormat="1" ht="23.1" customHeight="1" x14ac:dyDescent="0.2">
      <c r="A35" s="24">
        <v>9</v>
      </c>
      <c r="B35" s="278"/>
      <c r="C35" s="260"/>
      <c r="D35" s="260"/>
      <c r="E35" s="279"/>
      <c r="F35" s="242"/>
      <c r="G35" s="254"/>
      <c r="H35" s="280"/>
      <c r="I35" s="281"/>
      <c r="J35" s="322"/>
      <c r="K35" s="322"/>
      <c r="L35" s="322"/>
      <c r="M35" s="322"/>
      <c r="N35" s="322"/>
      <c r="O35" s="322"/>
      <c r="P35" s="322"/>
      <c r="Q35" s="282"/>
      <c r="R35" s="326"/>
      <c r="S35" s="326"/>
      <c r="T35" s="326"/>
      <c r="U35" s="327"/>
      <c r="V35" s="362"/>
      <c r="W35" s="363"/>
      <c r="X35" s="363"/>
      <c r="Y35" s="363"/>
      <c r="Z35" s="363"/>
      <c r="AA35" s="364"/>
      <c r="AP35" s="211" t="str">
        <f t="shared" si="50"/>
        <v>LourveLock</v>
      </c>
      <c r="AT35" s="238" t="str">
        <f t="shared" si="51"/>
        <v>SecurityLock</v>
      </c>
      <c r="AU35" s="132" t="str">
        <f t="shared" si="47"/>
        <v>SecurityLockNo</v>
      </c>
      <c r="AV35" s="132"/>
      <c r="AW35" s="132"/>
      <c r="AX35" s="132" t="str">
        <f t="shared" si="52"/>
        <v>KeyLock</v>
      </c>
      <c r="BA35" s="131" t="s">
        <v>543</v>
      </c>
      <c r="BB35" s="131" t="s">
        <v>440</v>
      </c>
      <c r="BE35" s="19" t="s">
        <v>543</v>
      </c>
      <c r="BF35" s="19" t="str">
        <f>$BD$25</f>
        <v>AluminiumExtrasLimitedColours</v>
      </c>
      <c r="BG35" s="19" t="e">
        <f t="shared" si="49"/>
        <v>#N/A</v>
      </c>
    </row>
    <row r="36" spans="1:116" s="19" customFormat="1" ht="23.1" customHeight="1" x14ac:dyDescent="0.2">
      <c r="A36" s="14">
        <v>10</v>
      </c>
      <c r="B36" s="278"/>
      <c r="C36" s="260"/>
      <c r="D36" s="260"/>
      <c r="E36" s="279"/>
      <c r="F36" s="242"/>
      <c r="G36" s="254"/>
      <c r="H36" s="280"/>
      <c r="I36" s="281"/>
      <c r="J36" s="322"/>
      <c r="K36" s="322"/>
      <c r="L36" s="322"/>
      <c r="M36" s="322"/>
      <c r="N36" s="322"/>
      <c r="O36" s="322"/>
      <c r="P36" s="322"/>
      <c r="Q36" s="282"/>
      <c r="R36" s="326"/>
      <c r="S36" s="326"/>
      <c r="T36" s="326"/>
      <c r="U36" s="327"/>
      <c r="V36" s="362"/>
      <c r="W36" s="363"/>
      <c r="X36" s="363"/>
      <c r="Y36" s="363"/>
      <c r="Z36" s="363"/>
      <c r="AA36" s="364"/>
      <c r="AP36" s="211" t="str">
        <f t="shared" si="50"/>
        <v>LourveLock</v>
      </c>
      <c r="AT36" s="238" t="str">
        <f t="shared" si="51"/>
        <v>SecurityLock</v>
      </c>
      <c r="AU36" s="132" t="str">
        <f t="shared" si="47"/>
        <v>SecurityLockNo</v>
      </c>
      <c r="AV36" s="132"/>
      <c r="AW36" s="132"/>
      <c r="AX36" s="132" t="str">
        <f t="shared" si="52"/>
        <v>KeyLock</v>
      </c>
      <c r="BA36" s="131" t="s">
        <v>95</v>
      </c>
      <c r="BB36" s="224" t="s">
        <v>439</v>
      </c>
      <c r="BE36" s="19" t="s">
        <v>95</v>
      </c>
      <c r="BF36" s="211" t="str">
        <f t="shared" si="48"/>
        <v>EcoExternalAluminiumColourAll</v>
      </c>
      <c r="BG36" s="19" t="e">
        <f t="shared" si="49"/>
        <v>#N/A</v>
      </c>
    </row>
    <row r="37" spans="1:116" s="19" customFormat="1" ht="23.1" customHeight="1" x14ac:dyDescent="0.2">
      <c r="A37" s="24">
        <v>11</v>
      </c>
      <c r="B37" s="278"/>
      <c r="C37" s="260"/>
      <c r="D37" s="260"/>
      <c r="E37" s="279"/>
      <c r="F37" s="242"/>
      <c r="G37" s="254"/>
      <c r="H37" s="280"/>
      <c r="I37" s="281"/>
      <c r="J37" s="322"/>
      <c r="K37" s="322"/>
      <c r="L37" s="322"/>
      <c r="M37" s="322"/>
      <c r="N37" s="322"/>
      <c r="O37" s="322"/>
      <c r="P37" s="322"/>
      <c r="Q37" s="282"/>
      <c r="R37" s="326"/>
      <c r="S37" s="326"/>
      <c r="T37" s="326"/>
      <c r="U37" s="327"/>
      <c r="V37" s="362"/>
      <c r="W37" s="363"/>
      <c r="X37" s="363"/>
      <c r="Y37" s="363"/>
      <c r="Z37" s="363"/>
      <c r="AA37" s="364"/>
      <c r="AP37" s="211" t="str">
        <f t="shared" si="50"/>
        <v>LourveLock</v>
      </c>
      <c r="AT37" s="238" t="str">
        <f t="shared" si="51"/>
        <v>SecurityLock</v>
      </c>
      <c r="AU37" s="132" t="str">
        <f t="shared" si="47"/>
        <v>SecurityLockNo</v>
      </c>
      <c r="AV37" s="132"/>
      <c r="AW37" s="132"/>
      <c r="AX37" s="132" t="str">
        <f t="shared" si="52"/>
        <v>KeyLock</v>
      </c>
      <c r="BA37" s="118" t="s">
        <v>429</v>
      </c>
      <c r="BB37" s="224" t="s">
        <v>436</v>
      </c>
      <c r="BE37" s="19" t="s">
        <v>429</v>
      </c>
      <c r="BF37" s="211" t="str">
        <f t="shared" si="48"/>
        <v>EcoExternalAluminiumColourAll</v>
      </c>
      <c r="BG37" s="19" t="e">
        <f t="shared" si="49"/>
        <v>#N/A</v>
      </c>
    </row>
    <row r="38" spans="1:116" s="19" customFormat="1" ht="23.1" customHeight="1" x14ac:dyDescent="0.2">
      <c r="A38" s="14">
        <v>12</v>
      </c>
      <c r="B38" s="278"/>
      <c r="C38" s="260"/>
      <c r="D38" s="260"/>
      <c r="E38" s="279"/>
      <c r="F38" s="242"/>
      <c r="G38" s="254"/>
      <c r="H38" s="280"/>
      <c r="I38" s="281"/>
      <c r="J38" s="322"/>
      <c r="K38" s="322"/>
      <c r="L38" s="322"/>
      <c r="M38" s="322"/>
      <c r="N38" s="322"/>
      <c r="O38" s="322"/>
      <c r="P38" s="322"/>
      <c r="Q38" s="282"/>
      <c r="R38" s="326"/>
      <c r="S38" s="326"/>
      <c r="T38" s="326"/>
      <c r="U38" s="327"/>
      <c r="V38" s="362"/>
      <c r="W38" s="363"/>
      <c r="X38" s="363"/>
      <c r="Y38" s="363"/>
      <c r="Z38" s="363"/>
      <c r="AA38" s="364"/>
      <c r="AP38" s="211" t="str">
        <f t="shared" si="50"/>
        <v>LourveLock</v>
      </c>
      <c r="AT38" s="238" t="str">
        <f t="shared" si="51"/>
        <v>SecurityLock</v>
      </c>
      <c r="AU38" s="132" t="str">
        <f t="shared" si="47"/>
        <v>SecurityLockNo</v>
      </c>
      <c r="AV38" s="132"/>
      <c r="AW38" s="132"/>
      <c r="AX38" s="132" t="str">
        <f t="shared" si="52"/>
        <v>KeyLock</v>
      </c>
      <c r="BA38" s="118" t="s">
        <v>432</v>
      </c>
      <c r="BB38" s="224" t="s">
        <v>435</v>
      </c>
      <c r="BE38" s="19" t="s">
        <v>432</v>
      </c>
      <c r="BF38" s="19" t="str">
        <f t="shared" ref="BF38:BF40" si="53">$BD$25</f>
        <v>AluminiumExtrasLimitedColours</v>
      </c>
      <c r="BG38" s="19" t="e">
        <f t="shared" si="49"/>
        <v>#N/A</v>
      </c>
    </row>
    <row r="39" spans="1:116" s="19" customFormat="1" ht="23.1" customHeight="1" x14ac:dyDescent="0.2">
      <c r="A39" s="24">
        <v>13</v>
      </c>
      <c r="B39" s="278"/>
      <c r="C39" s="260"/>
      <c r="D39" s="260"/>
      <c r="E39" s="279"/>
      <c r="F39" s="242"/>
      <c r="G39" s="254"/>
      <c r="H39" s="280"/>
      <c r="I39" s="281"/>
      <c r="J39" s="322"/>
      <c r="K39" s="322"/>
      <c r="L39" s="322"/>
      <c r="M39" s="322"/>
      <c r="N39" s="322"/>
      <c r="O39" s="322"/>
      <c r="P39" s="322"/>
      <c r="Q39" s="282"/>
      <c r="R39" s="326"/>
      <c r="S39" s="326"/>
      <c r="T39" s="326"/>
      <c r="U39" s="327"/>
      <c r="V39" s="362"/>
      <c r="W39" s="363"/>
      <c r="X39" s="363"/>
      <c r="Y39" s="363"/>
      <c r="Z39" s="363"/>
      <c r="AA39" s="364"/>
      <c r="AP39" s="211" t="str">
        <f t="shared" si="50"/>
        <v>LourveLock</v>
      </c>
      <c r="AT39" s="238" t="str">
        <f t="shared" si="51"/>
        <v>SecurityLock</v>
      </c>
      <c r="AU39" s="132" t="str">
        <f t="shared" si="47"/>
        <v>SecurityLockNo</v>
      </c>
      <c r="AV39" s="132"/>
      <c r="AW39" s="132"/>
      <c r="AX39" s="132" t="str">
        <f t="shared" si="52"/>
        <v>KeyLock</v>
      </c>
      <c r="BA39" s="118" t="s">
        <v>431</v>
      </c>
      <c r="BE39" s="19" t="s">
        <v>431</v>
      </c>
      <c r="BF39" s="19" t="str">
        <f t="shared" si="53"/>
        <v>AluminiumExtrasLimitedColours</v>
      </c>
      <c r="BG39" s="19" t="e">
        <f t="shared" si="49"/>
        <v>#N/A</v>
      </c>
    </row>
    <row r="40" spans="1:116" s="19" customFormat="1" ht="23.1" customHeight="1" x14ac:dyDescent="0.2">
      <c r="A40" s="14">
        <v>14</v>
      </c>
      <c r="B40" s="278"/>
      <c r="C40" s="260"/>
      <c r="D40" s="260"/>
      <c r="E40" s="279"/>
      <c r="F40" s="242"/>
      <c r="G40" s="254"/>
      <c r="H40" s="280"/>
      <c r="I40" s="281"/>
      <c r="J40" s="322"/>
      <c r="K40" s="322"/>
      <c r="L40" s="322"/>
      <c r="M40" s="322"/>
      <c r="N40" s="322"/>
      <c r="O40" s="322"/>
      <c r="P40" s="322"/>
      <c r="Q40" s="282"/>
      <c r="R40" s="326"/>
      <c r="S40" s="326"/>
      <c r="T40" s="326"/>
      <c r="U40" s="327"/>
      <c r="V40" s="362"/>
      <c r="W40" s="363"/>
      <c r="X40" s="363"/>
      <c r="Y40" s="363"/>
      <c r="Z40" s="363"/>
      <c r="AA40" s="364"/>
      <c r="AP40" s="211" t="str">
        <f t="shared" si="50"/>
        <v>LourveLock</v>
      </c>
      <c r="AT40" s="238" t="str">
        <f t="shared" si="51"/>
        <v>SecurityLock</v>
      </c>
      <c r="AU40" s="132" t="str">
        <f t="shared" si="47"/>
        <v>SecurityLockNo</v>
      </c>
      <c r="AV40" s="132"/>
      <c r="AW40" s="132"/>
      <c r="AX40" s="132" t="str">
        <f t="shared" si="52"/>
        <v>KeyLock</v>
      </c>
      <c r="BA40" s="118" t="s">
        <v>430</v>
      </c>
      <c r="BE40" s="19" t="s">
        <v>430</v>
      </c>
      <c r="BF40" s="19" t="str">
        <f t="shared" si="53"/>
        <v>AluminiumExtrasLimitedColours</v>
      </c>
      <c r="BG40" s="19" t="e">
        <f t="shared" si="49"/>
        <v>#N/A</v>
      </c>
    </row>
    <row r="41" spans="1:116" s="19" customFormat="1" ht="23.1" customHeight="1" thickBot="1" x14ac:dyDescent="0.25">
      <c r="A41" s="226">
        <v>15</v>
      </c>
      <c r="B41" s="283"/>
      <c r="C41" s="284"/>
      <c r="D41" s="284"/>
      <c r="E41" s="285"/>
      <c r="F41" s="286"/>
      <c r="G41" s="265"/>
      <c r="H41" s="266"/>
      <c r="I41" s="287"/>
      <c r="J41" s="339"/>
      <c r="K41" s="339"/>
      <c r="L41" s="339"/>
      <c r="M41" s="339"/>
      <c r="N41" s="325"/>
      <c r="O41" s="325"/>
      <c r="P41" s="325"/>
      <c r="Q41" s="288"/>
      <c r="R41" s="323"/>
      <c r="S41" s="323"/>
      <c r="T41" s="323"/>
      <c r="U41" s="324"/>
      <c r="V41" s="365"/>
      <c r="W41" s="366"/>
      <c r="X41" s="366"/>
      <c r="Y41" s="366"/>
      <c r="Z41" s="366"/>
      <c r="AA41" s="367"/>
      <c r="AP41" s="211" t="str">
        <f t="shared" si="50"/>
        <v>LourveLock</v>
      </c>
      <c r="AT41" s="238" t="str">
        <f t="shared" si="51"/>
        <v>SecurityLock</v>
      </c>
      <c r="AU41" s="132" t="str">
        <f t="shared" si="47"/>
        <v>SecurityLockNo</v>
      </c>
      <c r="AV41" s="132"/>
      <c r="AW41" s="132"/>
      <c r="AX41" s="132" t="str">
        <f t="shared" si="52"/>
        <v>KeyLock</v>
      </c>
      <c r="BA41" s="224" t="s">
        <v>424</v>
      </c>
      <c r="BE41" s="19" t="s">
        <v>424</v>
      </c>
      <c r="BF41" s="211" t="str">
        <f>$EB$8</f>
        <v>EcoExternalAluminiumColourAll</v>
      </c>
      <c r="BG41" s="19" t="e">
        <f t="shared" si="49"/>
        <v>#N/A</v>
      </c>
    </row>
    <row r="42" spans="1:116" x14ac:dyDescent="0.2">
      <c r="AO42" s="19"/>
      <c r="AP42" s="19"/>
      <c r="AQ42" s="19"/>
      <c r="BA42" s="131" t="s">
        <v>27</v>
      </c>
      <c r="BB42" s="19"/>
      <c r="BC42" s="19"/>
      <c r="BE42" s="19" t="s">
        <v>27</v>
      </c>
      <c r="BF42" s="211" t="str">
        <f>$EB$8</f>
        <v>EcoExternalAluminiumColourAll</v>
      </c>
      <c r="BG42" s="19"/>
      <c r="CU42" s="19"/>
      <c r="CV42" s="19"/>
      <c r="CW42" s="19"/>
      <c r="CX42" s="19"/>
      <c r="DI42" s="19"/>
      <c r="DJ42" s="19"/>
      <c r="DK42" s="19"/>
      <c r="DL42" s="19"/>
    </row>
    <row r="43" spans="1:116" x14ac:dyDescent="0.2">
      <c r="BA43" s="131" t="s">
        <v>529</v>
      </c>
      <c r="BB43" s="19"/>
      <c r="BC43" s="19"/>
      <c r="BE43" s="19" t="s">
        <v>529</v>
      </c>
      <c r="BF43" s="211" t="str">
        <f>$EB$8</f>
        <v>EcoExternalAluminiumColourAll</v>
      </c>
      <c r="BG43" s="19"/>
    </row>
    <row r="44" spans="1:116" x14ac:dyDescent="0.2">
      <c r="BA44" s="131" t="s">
        <v>542</v>
      </c>
      <c r="BB44" s="19"/>
      <c r="BC44" s="19"/>
      <c r="BE44" s="19" t="s">
        <v>542</v>
      </c>
      <c r="BF44" s="19" t="str">
        <f t="shared" ref="BF44" si="54">$BD$25</f>
        <v>AluminiumExtrasLimitedColours</v>
      </c>
      <c r="BG44" s="19"/>
    </row>
    <row r="45" spans="1:116" x14ac:dyDescent="0.2">
      <c r="BA45" s="131" t="s">
        <v>441</v>
      </c>
      <c r="BB45" s="19"/>
      <c r="BC45" s="19"/>
      <c r="BE45" s="19" t="s">
        <v>441</v>
      </c>
      <c r="BF45" s="211" t="str">
        <f>$EB$8</f>
        <v>EcoExternalAluminiumColourAll</v>
      </c>
      <c r="BG45" s="19"/>
    </row>
    <row r="46" spans="1:116" x14ac:dyDescent="0.2">
      <c r="BA46" s="118" t="s">
        <v>428</v>
      </c>
      <c r="BB46" s="19"/>
      <c r="BE46" s="19" t="s">
        <v>428</v>
      </c>
      <c r="BF46" s="211" t="str">
        <f>$EB$8</f>
        <v>EcoExternalAluminiumColourAll</v>
      </c>
      <c r="BG46" s="19"/>
    </row>
    <row r="47" spans="1:116" x14ac:dyDescent="0.2">
      <c r="BA47" s="118" t="s">
        <v>385</v>
      </c>
      <c r="BE47" s="19" t="s">
        <v>385</v>
      </c>
      <c r="BF47" s="211" t="str">
        <f>$EB$8</f>
        <v>EcoExternalAluminiumColourAll</v>
      </c>
    </row>
    <row r="48" spans="1:116" x14ac:dyDescent="0.2">
      <c r="BA48" s="222"/>
    </row>
    <row r="49" spans="53:53" x14ac:dyDescent="0.2">
      <c r="BA49" s="222"/>
    </row>
    <row r="50" spans="53:53" x14ac:dyDescent="0.2">
      <c r="BA50" s="223"/>
    </row>
    <row r="51" spans="53:53" x14ac:dyDescent="0.2">
      <c r="BA51" s="223"/>
    </row>
    <row r="52" spans="53:53" x14ac:dyDescent="0.2">
      <c r="BA52" s="222"/>
    </row>
    <row r="53" spans="53:53" x14ac:dyDescent="0.2">
      <c r="BA53" s="222"/>
    </row>
    <row r="54" spans="53:53" x14ac:dyDescent="0.2">
      <c r="BA54" s="26"/>
    </row>
    <row r="55" spans="53:53" x14ac:dyDescent="0.2">
      <c r="BA55" s="222"/>
    </row>
    <row r="56" spans="53:53" x14ac:dyDescent="0.2">
      <c r="BA56" s="222"/>
    </row>
    <row r="57" spans="53:53" x14ac:dyDescent="0.2">
      <c r="BA57" s="222"/>
    </row>
  </sheetData>
  <sheetProtection algorithmName="SHA-512" hashValue="QD7ttPGyn7qLaCNQVEX+vDba0ctZTxnMMBXE0kDNpE4BWZJds/JANLNDd6234amKgAqAGDEgnYcPkUyxvx4Quw==" saltValue="t5vsDqS/YyCV/Z/g4Meofw==" spinCount="100000" sheet="1" objects="1" scenarios="1"/>
  <sortState xmlns:xlrd2="http://schemas.microsoft.com/office/spreadsheetml/2017/richdata2" ref="EN9:EN10">
    <sortCondition ref="EN9:EN10"/>
  </sortState>
  <dataConsolidate/>
  <mergeCells count="74">
    <mergeCell ref="L1:M1"/>
    <mergeCell ref="L2:M2"/>
    <mergeCell ref="L7:W7"/>
    <mergeCell ref="Q25:U25"/>
    <mergeCell ref="V27:AA41"/>
    <mergeCell ref="J25:M26"/>
    <mergeCell ref="N27:P27"/>
    <mergeCell ref="R26:U26"/>
    <mergeCell ref="V25:AA26"/>
    <mergeCell ref="N25:P26"/>
    <mergeCell ref="N1:X1"/>
    <mergeCell ref="N2:X2"/>
    <mergeCell ref="N3:X3"/>
    <mergeCell ref="N4:X4"/>
    <mergeCell ref="N5:X5"/>
    <mergeCell ref="A24:AA24"/>
    <mergeCell ref="L4:M4"/>
    <mergeCell ref="L5:M5"/>
    <mergeCell ref="B7:I7"/>
    <mergeCell ref="A25:A26"/>
    <mergeCell ref="C4:I4"/>
    <mergeCell ref="A6:I6"/>
    <mergeCell ref="B25:B26"/>
    <mergeCell ref="C25:C26"/>
    <mergeCell ref="D25:D26"/>
    <mergeCell ref="E25:E26"/>
    <mergeCell ref="L3:M3"/>
    <mergeCell ref="A4:B4"/>
    <mergeCell ref="G1:I3"/>
    <mergeCell ref="J40:M40"/>
    <mergeCell ref="J41:M41"/>
    <mergeCell ref="F25:I25"/>
    <mergeCell ref="J27:M27"/>
    <mergeCell ref="J28:M28"/>
    <mergeCell ref="J36:M36"/>
    <mergeCell ref="J31:M31"/>
    <mergeCell ref="J32:M32"/>
    <mergeCell ref="J33:M33"/>
    <mergeCell ref="J37:M37"/>
    <mergeCell ref="J35:M35"/>
    <mergeCell ref="J29:M29"/>
    <mergeCell ref="J30:M30"/>
    <mergeCell ref="R33:U33"/>
    <mergeCell ref="R34:U34"/>
    <mergeCell ref="R35:U35"/>
    <mergeCell ref="R37:U37"/>
    <mergeCell ref="R38:U38"/>
    <mergeCell ref="R27:U27"/>
    <mergeCell ref="R29:U29"/>
    <mergeCell ref="R30:U30"/>
    <mergeCell ref="R31:U31"/>
    <mergeCell ref="R32:U32"/>
    <mergeCell ref="R28:U28"/>
    <mergeCell ref="R41:U41"/>
    <mergeCell ref="N40:P40"/>
    <mergeCell ref="N41:P41"/>
    <mergeCell ref="R36:U36"/>
    <mergeCell ref="R39:U39"/>
    <mergeCell ref="R40:U40"/>
    <mergeCell ref="N38:P38"/>
    <mergeCell ref="N39:P39"/>
    <mergeCell ref="J34:M34"/>
    <mergeCell ref="J38:M38"/>
    <mergeCell ref="J39:M39"/>
    <mergeCell ref="N33:P33"/>
    <mergeCell ref="N34:P34"/>
    <mergeCell ref="N35:P35"/>
    <mergeCell ref="N36:P36"/>
    <mergeCell ref="N37:P37"/>
    <mergeCell ref="N28:P28"/>
    <mergeCell ref="N29:P29"/>
    <mergeCell ref="N30:P30"/>
    <mergeCell ref="N31:P31"/>
    <mergeCell ref="N32:P32"/>
  </mergeCells>
  <phoneticPr fontId="0" type="noConversion"/>
  <conditionalFormatting sqref="C9:C23">
    <cfRule type="expression" dxfId="24" priority="21">
      <formula>BN9="Oversize"</formula>
    </cfRule>
  </conditionalFormatting>
  <conditionalFormatting sqref="D9:D23">
    <cfRule type="expression" dxfId="23" priority="22">
      <formula>BJ9="Yes"</formula>
    </cfRule>
  </conditionalFormatting>
  <conditionalFormatting sqref="F9:F23">
    <cfRule type="expression" dxfId="22" priority="28">
      <formula>BD9="Failed"</formula>
    </cfRule>
  </conditionalFormatting>
  <conditionalFormatting sqref="J9:J23">
    <cfRule type="expression" dxfId="21" priority="6">
      <formula>BY9="Yes"</formula>
    </cfRule>
  </conditionalFormatting>
  <conditionalFormatting sqref="K9:K23">
    <cfRule type="expression" dxfId="20" priority="16">
      <formula>CA9="Yes"</formula>
    </cfRule>
  </conditionalFormatting>
  <conditionalFormatting sqref="M9:M23">
    <cfRule type="expression" dxfId="19" priority="29">
      <formula>BD9="Failed"</formula>
    </cfRule>
  </conditionalFormatting>
  <conditionalFormatting sqref="P9:S23">
    <cfRule type="expression" dxfId="18" priority="24">
      <formula>BE9="Yes"</formula>
    </cfRule>
  </conditionalFormatting>
  <conditionalFormatting sqref="T9:T23">
    <cfRule type="expression" dxfId="17" priority="20">
      <formula>BX9="Highlight"</formula>
    </cfRule>
  </conditionalFormatting>
  <conditionalFormatting sqref="U9:W23">
    <cfRule type="expression" dxfId="16" priority="17">
      <formula>BS9="Error"</formula>
    </cfRule>
  </conditionalFormatting>
  <conditionalFormatting sqref="X9:Z23">
    <cfRule type="containsText" dxfId="15" priority="7" operator="containsText" text="Handle">
      <formula>NOT(ISERROR(SEARCH("Handle",X9)))</formula>
    </cfRule>
    <cfRule type="containsText" dxfId="14" priority="8" operator="containsText" text="Bottom">
      <formula>NOT(ISERROR(SEARCH("Bottom",X9)))</formula>
    </cfRule>
    <cfRule type="containsText" dxfId="13" priority="9" operator="containsText" text="Top">
      <formula>NOT(ISERROR(SEARCH("Top",X9)))</formula>
    </cfRule>
    <cfRule type="expression" dxfId="12" priority="10">
      <formula>BI9="Yes"</formula>
    </cfRule>
  </conditionalFormatting>
  <conditionalFormatting sqref="M9:M23">
    <cfRule type="expression" dxfId="11" priority="5">
      <formula>EJ9&gt;0</formula>
    </cfRule>
  </conditionalFormatting>
  <conditionalFormatting sqref="B27:B41">
    <cfRule type="containsText" dxfId="10" priority="4" operator="containsText" text="Silver">
      <formula>NOT(ISERROR(SEARCH("Silver",B27)))</formula>
    </cfRule>
  </conditionalFormatting>
  <conditionalFormatting sqref="E27:E41">
    <cfRule type="containsText" dxfId="9" priority="3" operator="containsText" text="Yes">
      <formula>NOT(ISERROR(SEARCH("Yes",E27)))</formula>
    </cfRule>
  </conditionalFormatting>
  <conditionalFormatting sqref="D27:D41">
    <cfRule type="containsText" dxfId="8" priority="1" operator="containsText" text="White">
      <formula>NOT(ISERROR(SEARCH("White",D27)))</formula>
    </cfRule>
    <cfRule type="containsText" dxfId="7" priority="2" operator="containsText" text="Silver">
      <formula>NOT(ISERROR(SEARCH("Silver",D27)))</formula>
    </cfRule>
  </conditionalFormatting>
  <dataValidations count="32">
    <dataValidation type="list" allowBlank="1" showErrorMessage="1" errorTitle="Invalid Entry" error="Invalid Entry" sqref="M9:M23" xr:uid="{00000000-0002-0000-0200-000005000000}">
      <formula1>INDIRECT(SUBSTITUTE(AZ9," ","_"))</formula1>
    </dataValidation>
    <dataValidation allowBlank="1" showErrorMessage="1" sqref="B25:C25 J9:J23" xr:uid="{00000000-0002-0000-0200-000009000000}"/>
    <dataValidation type="list" allowBlank="1" showInputMessage="1" showErrorMessage="1" sqref="E9:E23" xr:uid="{00000000-0002-0000-0200-00000A000000}">
      <formula1>"IN, OUT, MS"</formula1>
    </dataValidation>
    <dataValidation type="whole" errorStyle="information" allowBlank="1" showInputMessage="1" showErrorMessage="1" errorTitle="Warning" error="Minimum Panel Width is 300mm._x000a__x000a_Maximum Panel Width is 900mm." sqref="C9:C23" xr:uid="{00000000-0002-0000-0200-00000B000000}">
      <formula1>300</formula1>
      <formula2>6000</formula2>
    </dataValidation>
    <dataValidation type="whole" errorStyle="information" allowBlank="1" showInputMessage="1" errorTitle="Be Aware" error="All openings over 3600mm wide will have framing split into 2 pieces." sqref="B9:B23" xr:uid="{00000000-0002-0000-0200-00000C000000}">
      <formula1>1</formula1>
      <formula2>3600</formula2>
    </dataValidation>
    <dataValidation type="whole" errorStyle="information" allowBlank="1" showErrorMessage="1" errorTitle="Warning" error="Minimum Panel Height is 400mm._x000a__x000a_Maximum Panel Height is 3000mm." sqref="D9:D23" xr:uid="{00000000-0002-0000-0200-000010000000}">
      <formula1>400</formula1>
      <formula2>3000</formula2>
    </dataValidation>
    <dataValidation allowBlank="1" sqref="AB3:AE23" xr:uid="{00000000-0002-0000-0200-000017000000}"/>
    <dataValidation type="list" allowBlank="1" showInputMessage="1" showErrorMessage="1" errorTitle="Invalid Entry" error="Please select from List!" sqref="G9:G23" xr:uid="{FED52972-2D97-4B5A-A0C3-08D9F8F7918A}">
      <formula1>"63mm, 89mm, 114mm"</formula1>
    </dataValidation>
    <dataValidation type="list" allowBlank="1" showErrorMessage="1" errorTitle="Invalid Entry" error="Invalid Entry" promptTitle="SLIDE" prompt="IF 64mm BLADE-SLIDE, FRAME TYPE IS 160mm, _x000a_IF 89mm BLADE-SLIDE FRAME TYPE IS 220mm" sqref="L9:L23" xr:uid="{5055021C-B245-4EB1-8B75-CFE84A96C74A}">
      <formula1>INDIRECT(SUBSTITUTE(CT9," ","_"))</formula1>
    </dataValidation>
    <dataValidation type="list" allowBlank="1" showInputMessage="1" showErrorMessage="1" errorTitle="Invalid Selection" error="Invalid Selection" sqref="R27:U41" xr:uid="{00000000-0002-0000-0200-000011000000}">
      <formula1>AluminiumExtraHardwares</formula1>
    </dataValidation>
    <dataValidation type="list" allowBlank="1" showInputMessage="1" showErrorMessage="1" errorTitle="Invalid Entry" error="Invalid Entry" sqref="N9:N23" xr:uid="{8684C66A-EBED-41C2-8AC7-F2FDB3DFECFA}">
      <formula1>INDIRECT(SUBSTITUTE(DB9," ","_"))</formula1>
    </dataValidation>
    <dataValidation type="list" allowBlank="1" showInputMessage="1" showErrorMessage="1" errorTitle="Invalid Entry" error="Invalid Entry" sqref="O9:O23" xr:uid="{20329063-00BF-4967-B058-B21260681B3A}">
      <formula1>INDIRECT(SUBSTITUTE(DH9," ","_"))</formula1>
    </dataValidation>
    <dataValidation type="list" allowBlank="1" showInputMessage="1" showErrorMessage="1" errorTitle="Invalid Entry" error="Invalid Entry" sqref="T9:T23" xr:uid="{0599D03B-23E5-48DF-AFAF-A148599D5A3D}">
      <formula1>THPost</formula1>
    </dataValidation>
    <dataValidation type="list" allowBlank="1" showInputMessage="1" showErrorMessage="1" errorTitle="Invalid Entry" error="Invalid Entry" sqref="P9:P23" xr:uid="{6EBF3A6F-C676-43AF-9464-2C7CAE64F5E1}">
      <formula1>INDIRECT(SUBSTITUTE(DS9," ","_"))</formula1>
    </dataValidation>
    <dataValidation type="list" allowBlank="1" showInputMessage="1" showErrorMessage="1" errorTitle="Invalid Entry" error="Invalid Entry" sqref="Q9:Q23" xr:uid="{E7CE0B41-090B-49BE-89C2-FA09C6D9A84C}">
      <formula1>INDIRECT(SUBSTITUTE(DS9," ","_"))</formula1>
    </dataValidation>
    <dataValidation type="list" allowBlank="1" showInputMessage="1" showErrorMessage="1" errorTitle="Invalid Entry" error="Invalid Entry" sqref="R9:R23" xr:uid="{FD217BD5-1111-485B-B920-5219A09E26AC}">
      <formula1>INDIRECT(SUBSTITUTE(DX9," ","_"))</formula1>
    </dataValidation>
    <dataValidation type="list" allowBlank="1" showInputMessage="1" showErrorMessage="1" errorTitle="Invalid Entry" error="Invalid Entry" sqref="S9:S23" xr:uid="{6D6F650D-A804-44D4-BFB4-AC89DCA7AD73}">
      <formula1>INDIRECT(SUBSTITUTE(DW9," ","_"))</formula1>
    </dataValidation>
    <dataValidation type="list" allowBlank="1" showInputMessage="1" showErrorMessage="1" errorTitle="Invalid Entry" error="Invalid Entry" sqref="B27:C41" xr:uid="{8532BA16-D9BF-40C8-A8CC-7238BFEF2FF0}">
      <formula1>INDIRECT(SUBSTITUTE(AT27," ","_"))</formula1>
    </dataValidation>
    <dataValidation type="whole" allowBlank="1" showInputMessage="1" errorTitle="Invalid Entry" error="Invalid Entry" sqref="F27:F41" xr:uid="{16910F1C-54AE-4587-927D-80573BCF52EA}">
      <formula1>1</formula1>
      <formula2>100</formula2>
    </dataValidation>
    <dataValidation type="list" allowBlank="1" showInputMessage="1" showErrorMessage="1" errorTitle="Invalid Entry" error="Invalid Entry" sqref="N41:P41" xr:uid="{FF35FCC6-E5C8-4F52-974C-47833C6C7A31}">
      <formula1>"AluminiumSpecialComments"</formula1>
    </dataValidation>
    <dataValidation type="list" allowBlank="1" showInputMessage="1" showErrorMessage="1" errorTitle="Invalid Entry" error="Invalid Entry" sqref="J27:M41 N27:P40" xr:uid="{EBA8557B-1FCA-4AB5-937E-AE3E63C596FF}">
      <formula1>AluminiumSpecialComments</formula1>
    </dataValidation>
    <dataValidation type="list" allowBlank="1" showInputMessage="1" showErrorMessage="1" errorTitle="Invalid Entry" error="Invalid Entry" sqref="H27:H41" xr:uid="{B4034024-2AA6-4269-A3DF-12246356A6ED}">
      <formula1>AluminiumExtras</formula1>
    </dataValidation>
    <dataValidation type="list" allowBlank="1" showInputMessage="1" showErrorMessage="1" errorTitle="Invalid Entry" error="Invalid Entry" sqref="Y9:Y23" xr:uid="{F2D59334-43BE-4372-9582-392CA6555211}">
      <formula1>INDIRECT(SUBSTITUTE(AL9," ","_"))</formula1>
    </dataValidation>
    <dataValidation type="list" allowBlank="1" showInputMessage="1" showErrorMessage="1" errorTitle="Invalid Entry" error="Invalid Entry" sqref="Z9:Z23" xr:uid="{53557552-37EB-4AB8-9885-C11223317CE1}">
      <formula1>INDIRECT(SUBSTITUTE(AK9," ","_"))</formula1>
    </dataValidation>
    <dataValidation type="list" allowBlank="1" showInputMessage="1" showErrorMessage="1" errorTitle="Invalid Entry" error="Invalid Entry" sqref="I9:I23" xr:uid="{74A0AFF3-2320-4C25-9111-E5E3110460E8}">
      <formula1>INDIRECT(SUBSTITUTE(DZ9," ","_"))</formula1>
    </dataValidation>
    <dataValidation allowBlank="1" showInputMessage="1" errorTitle="Invalid Entry" error="Invalid Entry" sqref="G27:G41" xr:uid="{0B07E60A-7AC6-416C-A914-16FF13791206}"/>
    <dataValidation type="list" allowBlank="1" showInputMessage="1" showErrorMessage="1" errorTitle="Invalid Entry" error="Invalid Entry" sqref="I27:I41" xr:uid="{AFEC25CB-6CEF-47A3-8DAF-97DB7BF8F291}">
      <formula1>INDIRECT(SUBSTITUTE(BG27," ","_"))</formula1>
    </dataValidation>
    <dataValidation type="list" allowBlank="1" showInputMessage="1" showErrorMessage="1" errorTitle="Invalid Entry" error="Invalid Entry" sqref="X9:X23" xr:uid="{072FBF2B-0E14-4607-BFEE-BD5907E5732F}">
      <formula1>INDIRECT(SUBSTITUTE(EP9," ","_"))</formula1>
    </dataValidation>
    <dataValidation type="list" allowBlank="1" showInputMessage="1" showErrorMessage="1" errorTitle="Invalid Entry" error="Invalid Entry" sqref="E27:E41" xr:uid="{F57B6005-16D6-4A14-A726-C6DB2B1E5038}">
      <formula1>INDIRECT(SUBSTITUTE(AP27," ","_"))</formula1>
    </dataValidation>
    <dataValidation type="list" allowBlank="1" showInputMessage="1" showErrorMessage="1" errorTitle="Invalid Entry" error="Invalid Entry" sqref="D27:D41" xr:uid="{4B4DE34F-B4A9-4B17-A365-0EF56D9CA85E}">
      <formula1>INDIRECT(SUBSTITUTE(AX27," ","_"))</formula1>
    </dataValidation>
    <dataValidation type="list" allowBlank="1" showInputMessage="1" showErrorMessage="1" errorTitle="Invalid Entry" error="Invalid Entry" sqref="K9:K23" xr:uid="{69813860-F79C-46D8-B3DD-A060854F7FB4}">
      <formula1>INDIRECT(SUBSTITUTE(ES9," ","_"))</formula1>
    </dataValidation>
    <dataValidation type="list" allowBlank="1" showInputMessage="1" showErrorMessage="1" errorTitle="Invalid Entry" error="Invalid Entry" sqref="H9:H23" xr:uid="{E6E7A4FF-C6FA-4141-B107-708F7CFB658E}">
      <formula1>INDIRECT(SUBSTITUTE(FC9," ","_"))</formula1>
    </dataValidation>
  </dataValidations>
  <printOptions horizontalCentered="1"/>
  <pageMargins left="0.19685039370078741" right="0.19685039370078741" top="0.19685039370078741" bottom="0.19685039370078741" header="0" footer="0"/>
  <pageSetup paperSize="9" scale="2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M46"/>
  <sheetViews>
    <sheetView showGridLines="0" view="pageBreakPreview" zoomScale="80" zoomScaleNormal="80" zoomScaleSheetLayoutView="80" zoomScalePageLayoutView="70" workbookViewId="0">
      <selection activeCell="B10" sqref="B10"/>
    </sheetView>
  </sheetViews>
  <sheetFormatPr defaultRowHeight="15" x14ac:dyDescent="0.2"/>
  <cols>
    <col min="1" max="1" width="5.88671875" style="7" customWidth="1"/>
    <col min="2" max="2" width="14.33203125" style="7" customWidth="1"/>
    <col min="3" max="4" width="14.44140625" style="7" customWidth="1"/>
    <col min="5" max="6" width="16.109375" style="7" customWidth="1"/>
    <col min="7" max="8" width="14.44140625" style="7" customWidth="1"/>
    <col min="9" max="9" width="24.6640625" style="7" customWidth="1"/>
    <col min="10" max="10" width="20.21875" style="7" customWidth="1"/>
    <col min="11" max="12" width="17.77734375" style="7" customWidth="1"/>
    <col min="13" max="13" width="18.21875" style="7" customWidth="1"/>
    <col min="14" max="16" width="16.109375" style="7" customWidth="1"/>
    <col min="17" max="17" width="11.6640625" style="7" customWidth="1"/>
    <col min="18" max="21" width="8.88671875" style="7" customWidth="1"/>
    <col min="22" max="26" width="8.88671875" style="7"/>
    <col min="27" max="37" width="0" style="7" hidden="1" customWidth="1"/>
    <col min="38" max="38" width="35.88671875" style="19" hidden="1" customWidth="1"/>
    <col min="39" max="52" width="0" style="7" hidden="1" customWidth="1"/>
    <col min="53" max="16384" width="8.88671875" style="7"/>
  </cols>
  <sheetData>
    <row r="1" spans="1:19" ht="27" customHeight="1" x14ac:dyDescent="0.2">
      <c r="A1" s="155"/>
      <c r="B1" s="156"/>
      <c r="C1" s="156"/>
      <c r="D1" s="157"/>
      <c r="E1" s="157"/>
      <c r="F1" s="157"/>
      <c r="G1" s="171"/>
      <c r="I1" s="126" t="s">
        <v>10</v>
      </c>
      <c r="J1" s="394">
        <f>Summary!D3</f>
        <v>0</v>
      </c>
      <c r="K1" s="394"/>
      <c r="L1" s="394"/>
      <c r="M1" s="394"/>
      <c r="N1" s="394"/>
      <c r="O1" s="394"/>
      <c r="P1" s="170" t="s">
        <v>309</v>
      </c>
      <c r="Q1" s="144" t="s">
        <v>21</v>
      </c>
    </row>
    <row r="2" spans="1:19" ht="22.5" customHeight="1" x14ac:dyDescent="0.2">
      <c r="A2" s="159"/>
      <c r="B2" s="4"/>
      <c r="C2" s="4"/>
      <c r="D2" s="9"/>
      <c r="E2" s="392" t="s">
        <v>159</v>
      </c>
      <c r="F2" s="392"/>
      <c r="G2" s="393"/>
      <c r="I2" s="173" t="s">
        <v>5</v>
      </c>
      <c r="J2" s="418">
        <f>Summary!D6</f>
        <v>0</v>
      </c>
      <c r="K2" s="418"/>
      <c r="L2" s="418"/>
      <c r="M2" s="418"/>
      <c r="N2" s="418"/>
      <c r="O2" s="418"/>
      <c r="P2" s="10"/>
    </row>
    <row r="3" spans="1:19" ht="22.5" customHeight="1" x14ac:dyDescent="0.2">
      <c r="A3" s="160"/>
      <c r="B3" s="5"/>
      <c r="C3" s="6"/>
      <c r="D3" s="9"/>
      <c r="E3" s="9"/>
      <c r="F3" s="9"/>
      <c r="G3" s="172"/>
      <c r="I3" s="126" t="s">
        <v>12</v>
      </c>
      <c r="J3" s="419">
        <f>Summary!D4</f>
        <v>0</v>
      </c>
      <c r="K3" s="419"/>
      <c r="L3" s="419"/>
      <c r="M3" s="419"/>
      <c r="N3" s="419"/>
      <c r="O3" s="419"/>
      <c r="P3" s="179" t="s">
        <v>11</v>
      </c>
      <c r="Q3" s="169">
        <f>SUM(Q10:Q20)</f>
        <v>0</v>
      </c>
      <c r="S3" s="195"/>
    </row>
    <row r="4" spans="1:19" ht="22.5" customHeight="1" x14ac:dyDescent="0.2">
      <c r="A4" s="429" t="s">
        <v>149</v>
      </c>
      <c r="B4" s="430"/>
      <c r="C4" s="431"/>
      <c r="D4" s="432"/>
      <c r="E4" s="126" t="s">
        <v>150</v>
      </c>
      <c r="F4" s="401"/>
      <c r="G4" s="401"/>
      <c r="I4" s="173" t="s">
        <v>154</v>
      </c>
      <c r="J4" s="461">
        <f>Summary!D7</f>
        <v>0</v>
      </c>
      <c r="K4" s="462"/>
      <c r="L4" s="462"/>
      <c r="M4" s="462"/>
      <c r="N4" s="462"/>
      <c r="O4" s="463"/>
      <c r="P4" s="180" t="s">
        <v>153</v>
      </c>
      <c r="Q4" s="184">
        <f>SUM(G10:G20)</f>
        <v>0</v>
      </c>
      <c r="S4" s="196"/>
    </row>
    <row r="5" spans="1:19" ht="22.5" customHeight="1" x14ac:dyDescent="0.2">
      <c r="A5" s="174" t="s">
        <v>160</v>
      </c>
      <c r="B5" s="150"/>
      <c r="C5" s="150"/>
      <c r="D5" s="9"/>
      <c r="E5" s="9"/>
      <c r="F5" s="9"/>
      <c r="G5" s="172"/>
      <c r="I5" s="173" t="s">
        <v>6</v>
      </c>
      <c r="J5" s="420">
        <f>Summary!D8</f>
        <v>0</v>
      </c>
      <c r="K5" s="420"/>
      <c r="L5" s="420"/>
      <c r="M5" s="420"/>
      <c r="N5" s="420"/>
      <c r="O5" s="420"/>
      <c r="P5" s="10"/>
    </row>
    <row r="6" spans="1:19" x14ac:dyDescent="0.2">
      <c r="A6" s="406" t="s">
        <v>313</v>
      </c>
      <c r="B6" s="407"/>
      <c r="C6" s="407"/>
      <c r="D6" s="407"/>
      <c r="E6" s="407"/>
      <c r="F6" s="407"/>
      <c r="G6" s="408"/>
    </row>
    <row r="7" spans="1:19" x14ac:dyDescent="0.2">
      <c r="A7" s="175"/>
      <c r="B7" s="409"/>
      <c r="C7" s="402" t="s">
        <v>276</v>
      </c>
      <c r="D7" s="403"/>
      <c r="E7" s="181"/>
      <c r="F7" s="182"/>
      <c r="G7" s="423" t="s">
        <v>156</v>
      </c>
      <c r="H7" s="423"/>
      <c r="I7" s="423"/>
      <c r="J7" s="423"/>
      <c r="K7" s="424"/>
    </row>
    <row r="8" spans="1:19" ht="15.75" thickBot="1" x14ac:dyDescent="0.25">
      <c r="A8" s="176"/>
      <c r="B8" s="410"/>
      <c r="C8" s="404"/>
      <c r="D8" s="405"/>
      <c r="E8" s="417" t="s">
        <v>136</v>
      </c>
      <c r="F8" s="417"/>
      <c r="G8" s="425"/>
      <c r="H8" s="425"/>
      <c r="I8" s="425"/>
      <c r="J8" s="425"/>
      <c r="K8" s="426"/>
      <c r="L8" s="149"/>
      <c r="M8" s="464" t="s">
        <v>135</v>
      </c>
      <c r="N8" s="465"/>
      <c r="O8" s="465"/>
      <c r="P8" s="466"/>
      <c r="Q8" s="102"/>
    </row>
    <row r="9" spans="1:19" ht="90" customHeight="1" thickBot="1" x14ac:dyDescent="0.25">
      <c r="A9" s="11" t="s">
        <v>3</v>
      </c>
      <c r="B9" s="120" t="s">
        <v>125</v>
      </c>
      <c r="C9" s="119" t="s">
        <v>134</v>
      </c>
      <c r="D9" s="119" t="s">
        <v>133</v>
      </c>
      <c r="E9" s="138" t="s">
        <v>132</v>
      </c>
      <c r="F9" s="138" t="s">
        <v>296</v>
      </c>
      <c r="G9" s="119" t="s">
        <v>131</v>
      </c>
      <c r="H9" s="119" t="s">
        <v>1</v>
      </c>
      <c r="I9" s="120" t="s">
        <v>314</v>
      </c>
      <c r="J9" s="141" t="s">
        <v>7</v>
      </c>
      <c r="K9" s="119" t="s">
        <v>130</v>
      </c>
      <c r="L9" s="12" t="s">
        <v>315</v>
      </c>
      <c r="M9" s="139" t="s">
        <v>129</v>
      </c>
      <c r="N9" s="139" t="s">
        <v>128</v>
      </c>
      <c r="O9" s="139" t="s">
        <v>127</v>
      </c>
      <c r="P9" s="140" t="s">
        <v>126</v>
      </c>
      <c r="Q9" s="145" t="s">
        <v>0</v>
      </c>
      <c r="R9" s="197"/>
      <c r="S9" s="197"/>
    </row>
    <row r="10" spans="1:19" ht="26.25" customHeight="1" thickTop="1" x14ac:dyDescent="0.2">
      <c r="A10" s="13">
        <v>1</v>
      </c>
      <c r="B10" s="32"/>
      <c r="C10" s="3"/>
      <c r="D10" s="101"/>
      <c r="E10" s="100" t="e">
        <f>'Calculation Sheet'!B4</f>
        <v>#N/A</v>
      </c>
      <c r="F10" s="99" t="e">
        <f>'Calculation Sheet'!B11</f>
        <v>#N/A</v>
      </c>
      <c r="G10" s="98"/>
      <c r="H10" s="1"/>
      <c r="I10" s="32"/>
      <c r="J10" s="32"/>
      <c r="K10" s="92"/>
      <c r="L10" s="92"/>
      <c r="M10" s="97"/>
      <c r="N10" s="96"/>
      <c r="O10" s="2"/>
      <c r="P10" s="107"/>
      <c r="Q10" s="142" t="str">
        <f t="shared" ref="Q10:Q20" si="0">IF(SUM(D10)=0,"",IF(G10&gt;0,SUM(((C10*D10)/1000000)*G10),SUM(((C10*D10)/1000000))))</f>
        <v/>
      </c>
      <c r="R10" s="19"/>
      <c r="S10" s="198"/>
    </row>
    <row r="11" spans="1:19" ht="26.25" customHeight="1" x14ac:dyDescent="0.2">
      <c r="A11" s="14">
        <v>2</v>
      </c>
      <c r="B11" s="29"/>
      <c r="C11" s="3"/>
      <c r="D11" s="28"/>
      <c r="E11" s="95" t="e">
        <f>'Calculation Sheet'!C4</f>
        <v>#N/A</v>
      </c>
      <c r="F11" s="94" t="e">
        <f>'Calculation Sheet'!C11</f>
        <v>#N/A</v>
      </c>
      <c r="G11" s="93"/>
      <c r="H11" s="1"/>
      <c r="I11" s="29"/>
      <c r="J11" s="29"/>
      <c r="K11" s="92"/>
      <c r="L11" s="92"/>
      <c r="M11" s="90"/>
      <c r="N11" s="90"/>
      <c r="O11" s="2"/>
      <c r="P11" s="107"/>
      <c r="Q11" s="142" t="str">
        <f t="shared" si="0"/>
        <v/>
      </c>
      <c r="R11" s="19"/>
      <c r="S11" s="198"/>
    </row>
    <row r="12" spans="1:19" ht="26.25" customHeight="1" x14ac:dyDescent="0.2">
      <c r="A12" s="14">
        <v>3</v>
      </c>
      <c r="B12" s="29"/>
      <c r="C12" s="3"/>
      <c r="D12" s="28"/>
      <c r="E12" s="95" t="e">
        <f>'Calculation Sheet'!D4</f>
        <v>#N/A</v>
      </c>
      <c r="F12" s="94" t="e">
        <f>'Calculation Sheet'!D11</f>
        <v>#N/A</v>
      </c>
      <c r="G12" s="93"/>
      <c r="H12" s="1"/>
      <c r="I12" s="29"/>
      <c r="J12" s="29"/>
      <c r="K12" s="92"/>
      <c r="L12" s="92"/>
      <c r="M12" s="90"/>
      <c r="N12" s="90"/>
      <c r="O12" s="2"/>
      <c r="P12" s="107"/>
      <c r="Q12" s="142" t="str">
        <f t="shared" si="0"/>
        <v/>
      </c>
      <c r="R12" s="19"/>
      <c r="S12" s="198"/>
    </row>
    <row r="13" spans="1:19" ht="26.25" customHeight="1" x14ac:dyDescent="0.2">
      <c r="A13" s="14">
        <v>4</v>
      </c>
      <c r="B13" s="29"/>
      <c r="C13" s="3"/>
      <c r="D13" s="28"/>
      <c r="E13" s="95" t="e">
        <f>'Calculation Sheet'!E4</f>
        <v>#N/A</v>
      </c>
      <c r="F13" s="94" t="e">
        <f>'Calculation Sheet'!E11</f>
        <v>#N/A</v>
      </c>
      <c r="G13" s="93"/>
      <c r="H13" s="1"/>
      <c r="I13" s="29"/>
      <c r="J13" s="29"/>
      <c r="K13" s="92"/>
      <c r="L13" s="92"/>
      <c r="M13" s="91"/>
      <c r="N13" s="90"/>
      <c r="O13" s="2"/>
      <c r="P13" s="107"/>
      <c r="Q13" s="142" t="str">
        <f t="shared" si="0"/>
        <v/>
      </c>
      <c r="R13" s="19"/>
      <c r="S13" s="198"/>
    </row>
    <row r="14" spans="1:19" ht="26.25" customHeight="1" x14ac:dyDescent="0.2">
      <c r="A14" s="14">
        <v>5</v>
      </c>
      <c r="B14" s="29"/>
      <c r="C14" s="3"/>
      <c r="D14" s="28"/>
      <c r="E14" s="95" t="e">
        <f>'Calculation Sheet'!F4</f>
        <v>#N/A</v>
      </c>
      <c r="F14" s="94" t="e">
        <f>'Calculation Sheet'!F11</f>
        <v>#N/A</v>
      </c>
      <c r="G14" s="93"/>
      <c r="H14" s="1"/>
      <c r="I14" s="29"/>
      <c r="J14" s="29"/>
      <c r="K14" s="92"/>
      <c r="L14" s="92"/>
      <c r="M14" s="91"/>
      <c r="N14" s="90"/>
      <c r="O14" s="2"/>
      <c r="P14" s="107"/>
      <c r="Q14" s="142" t="str">
        <f t="shared" si="0"/>
        <v/>
      </c>
      <c r="R14" s="19"/>
      <c r="S14" s="198"/>
    </row>
    <row r="15" spans="1:19" ht="26.25" customHeight="1" x14ac:dyDescent="0.2">
      <c r="A15" s="14">
        <v>6</v>
      </c>
      <c r="B15" s="29"/>
      <c r="C15" s="3"/>
      <c r="D15" s="28"/>
      <c r="E15" s="95" t="e">
        <f>'Calculation Sheet'!G4</f>
        <v>#N/A</v>
      </c>
      <c r="F15" s="94" t="e">
        <f>'Calculation Sheet'!G11</f>
        <v>#N/A</v>
      </c>
      <c r="G15" s="93"/>
      <c r="H15" s="1"/>
      <c r="I15" s="29"/>
      <c r="J15" s="29"/>
      <c r="K15" s="92"/>
      <c r="L15" s="92"/>
      <c r="M15" s="91"/>
      <c r="N15" s="90"/>
      <c r="O15" s="2"/>
      <c r="P15" s="107"/>
      <c r="Q15" s="142" t="str">
        <f t="shared" si="0"/>
        <v/>
      </c>
      <c r="R15" s="19"/>
      <c r="S15" s="198"/>
    </row>
    <row r="16" spans="1:19" ht="26.25" customHeight="1" x14ac:dyDescent="0.2">
      <c r="A16" s="14">
        <v>7</v>
      </c>
      <c r="B16" s="29"/>
      <c r="C16" s="3"/>
      <c r="D16" s="28"/>
      <c r="E16" s="95" t="e">
        <f>'Calculation Sheet'!H4</f>
        <v>#N/A</v>
      </c>
      <c r="F16" s="94" t="e">
        <f>'Calculation Sheet'!H11</f>
        <v>#N/A</v>
      </c>
      <c r="G16" s="93"/>
      <c r="H16" s="1"/>
      <c r="I16" s="29"/>
      <c r="J16" s="29"/>
      <c r="K16" s="92"/>
      <c r="L16" s="92"/>
      <c r="M16" s="91"/>
      <c r="N16" s="90"/>
      <c r="O16" s="2"/>
      <c r="P16" s="107"/>
      <c r="Q16" s="142" t="str">
        <f t="shared" si="0"/>
        <v/>
      </c>
      <c r="R16" s="19"/>
      <c r="S16" s="198"/>
    </row>
    <row r="17" spans="1:39" ht="26.25" customHeight="1" x14ac:dyDescent="0.2">
      <c r="A17" s="14">
        <v>8</v>
      </c>
      <c r="B17" s="29"/>
      <c r="C17" s="3"/>
      <c r="D17" s="28"/>
      <c r="E17" s="95" t="e">
        <f>'Calculation Sheet'!I4</f>
        <v>#N/A</v>
      </c>
      <c r="F17" s="94" t="e">
        <f>'Calculation Sheet'!I11</f>
        <v>#N/A</v>
      </c>
      <c r="G17" s="93"/>
      <c r="H17" s="1"/>
      <c r="I17" s="29"/>
      <c r="J17" s="29"/>
      <c r="K17" s="92"/>
      <c r="L17" s="92"/>
      <c r="M17" s="91"/>
      <c r="N17" s="90"/>
      <c r="O17" s="2"/>
      <c r="P17" s="107"/>
      <c r="Q17" s="142" t="str">
        <f t="shared" si="0"/>
        <v/>
      </c>
      <c r="R17" s="19"/>
      <c r="S17" s="198"/>
    </row>
    <row r="18" spans="1:39" ht="26.25" customHeight="1" x14ac:dyDescent="0.2">
      <c r="A18" s="16">
        <v>9</v>
      </c>
      <c r="B18" s="29"/>
      <c r="C18" s="3"/>
      <c r="D18" s="28"/>
      <c r="E18" s="95" t="e">
        <f>'Calculation Sheet'!J4</f>
        <v>#N/A</v>
      </c>
      <c r="F18" s="94" t="e">
        <f>'Calculation Sheet'!J11</f>
        <v>#N/A</v>
      </c>
      <c r="G18" s="93"/>
      <c r="H18" s="1"/>
      <c r="I18" s="29"/>
      <c r="J18" s="29"/>
      <c r="K18" s="92"/>
      <c r="L18" s="92"/>
      <c r="M18" s="91"/>
      <c r="N18" s="90"/>
      <c r="O18" s="2"/>
      <c r="P18" s="107"/>
      <c r="Q18" s="142" t="str">
        <f t="shared" si="0"/>
        <v/>
      </c>
      <c r="R18" s="19"/>
      <c r="S18" s="198"/>
    </row>
    <row r="19" spans="1:39" ht="26.25" customHeight="1" x14ac:dyDescent="0.2">
      <c r="A19" s="16">
        <v>10</v>
      </c>
      <c r="B19" s="29"/>
      <c r="C19" s="3"/>
      <c r="D19" s="28"/>
      <c r="E19" s="95" t="e">
        <f>'Calculation Sheet'!K4</f>
        <v>#N/A</v>
      </c>
      <c r="F19" s="94" t="e">
        <f>'Calculation Sheet'!K11</f>
        <v>#N/A</v>
      </c>
      <c r="G19" s="93"/>
      <c r="H19" s="1"/>
      <c r="I19" s="29"/>
      <c r="J19" s="29"/>
      <c r="K19" s="92"/>
      <c r="L19" s="92"/>
      <c r="M19" s="91"/>
      <c r="N19" s="90"/>
      <c r="O19" s="2"/>
      <c r="P19" s="107"/>
      <c r="Q19" s="142" t="str">
        <f t="shared" si="0"/>
        <v/>
      </c>
      <c r="R19" s="19"/>
      <c r="S19" s="198"/>
    </row>
    <row r="20" spans="1:39" ht="26.25" customHeight="1" thickBot="1" x14ac:dyDescent="0.25">
      <c r="A20" s="17">
        <v>11</v>
      </c>
      <c r="B20" s="31"/>
      <c r="C20" s="3"/>
      <c r="D20" s="27"/>
      <c r="E20" s="89" t="e">
        <f>'Calculation Sheet'!L4</f>
        <v>#N/A</v>
      </c>
      <c r="F20" s="88" t="e">
        <f>'Calculation Sheet'!L11</f>
        <v>#N/A</v>
      </c>
      <c r="G20" s="87"/>
      <c r="H20" s="1"/>
      <c r="I20" s="31"/>
      <c r="J20" s="31"/>
      <c r="K20" s="86"/>
      <c r="L20" s="86"/>
      <c r="M20" s="85"/>
      <c r="N20" s="84"/>
      <c r="O20" s="2"/>
      <c r="P20" s="107"/>
      <c r="Q20" s="143" t="str">
        <f t="shared" si="0"/>
        <v/>
      </c>
      <c r="R20" s="19"/>
      <c r="S20" s="198"/>
    </row>
    <row r="21" spans="1:39" ht="32.25" customHeight="1" thickBot="1" x14ac:dyDescent="0.4">
      <c r="A21" s="452" t="s">
        <v>290</v>
      </c>
      <c r="B21" s="453"/>
      <c r="C21" s="453"/>
      <c r="D21" s="453"/>
      <c r="E21" s="453"/>
      <c r="F21" s="453"/>
      <c r="G21" s="453"/>
      <c r="H21" s="453"/>
      <c r="I21" s="454"/>
      <c r="J21" s="454"/>
      <c r="K21" s="454"/>
      <c r="L21" s="454"/>
      <c r="M21" s="454"/>
      <c r="N21" s="454"/>
      <c r="O21" s="454"/>
      <c r="P21" s="454"/>
      <c r="Q21" s="455"/>
    </row>
    <row r="22" spans="1:39" ht="83.25" customHeight="1" thickBot="1" x14ac:dyDescent="0.25">
      <c r="A22" s="148" t="s">
        <v>3</v>
      </c>
      <c r="B22" s="127" t="s">
        <v>125</v>
      </c>
      <c r="C22" s="414" t="s">
        <v>61</v>
      </c>
      <c r="D22" s="415"/>
      <c r="E22" s="415"/>
      <c r="F22" s="416"/>
      <c r="G22" s="83" t="s">
        <v>62</v>
      </c>
      <c r="H22" s="83" t="s">
        <v>124</v>
      </c>
      <c r="I22" s="82" t="s">
        <v>7</v>
      </c>
      <c r="J22" s="467" t="s">
        <v>123</v>
      </c>
      <c r="K22" s="468"/>
      <c r="L22" s="468"/>
      <c r="M22" s="468"/>
      <c r="N22" s="468"/>
      <c r="O22" s="468"/>
      <c r="P22" s="468"/>
      <c r="Q22" s="469"/>
      <c r="R22" s="474"/>
      <c r="S22" s="473"/>
      <c r="T22" s="474"/>
      <c r="U22" s="473"/>
      <c r="V22" s="473"/>
      <c r="W22" s="473"/>
      <c r="X22" s="474"/>
      <c r="Y22" s="473"/>
      <c r="Z22" s="473"/>
      <c r="AA22" s="474"/>
      <c r="AB22" s="473"/>
      <c r="AC22" s="473"/>
      <c r="AD22" s="473"/>
      <c r="AE22" s="473"/>
      <c r="AF22" s="473"/>
      <c r="AG22" s="473"/>
      <c r="AH22" s="473"/>
      <c r="AI22" s="473"/>
      <c r="AJ22" s="473"/>
      <c r="AL22" s="19" t="s">
        <v>308</v>
      </c>
    </row>
    <row r="23" spans="1:39" ht="23.1" customHeight="1" thickTop="1" x14ac:dyDescent="0.2">
      <c r="A23" s="81"/>
      <c r="B23" s="80"/>
      <c r="C23" s="395"/>
      <c r="D23" s="396"/>
      <c r="E23" s="396"/>
      <c r="F23" s="397"/>
      <c r="G23" s="3"/>
      <c r="H23" s="3"/>
      <c r="I23" s="147"/>
      <c r="J23" s="433"/>
      <c r="K23" s="434"/>
      <c r="L23" s="434"/>
      <c r="M23" s="434"/>
      <c r="N23" s="434"/>
      <c r="O23" s="434"/>
      <c r="P23" s="434"/>
      <c r="Q23" s="435"/>
      <c r="R23" s="422"/>
      <c r="S23" s="422"/>
      <c r="T23" s="422"/>
      <c r="U23" s="422"/>
      <c r="V23" s="422"/>
      <c r="W23" s="422"/>
      <c r="X23" s="421"/>
      <c r="Y23" s="421"/>
      <c r="Z23" s="421"/>
      <c r="AA23" s="421"/>
      <c r="AB23" s="421"/>
      <c r="AC23" s="421"/>
      <c r="AD23" s="421"/>
      <c r="AE23" s="421"/>
      <c r="AF23" s="421"/>
      <c r="AG23" s="421"/>
      <c r="AH23" s="421"/>
      <c r="AI23" s="421"/>
      <c r="AJ23" s="421"/>
      <c r="AK23" s="8"/>
      <c r="AL23" s="19" t="b">
        <f>IF(C23='Privacy Screen Data'!$I$1,'Privacy Screen Data'!$J$1, IF(C23='Privacy Screen Data'!$I$2,'Privacy Screen Data'!$K$1, IF(C23='Privacy Screen Data'!$I$3,'Privacy Screen Data'!$L$1, IF(C23='Privacy Screen Data'!$I$4,'Privacy Screen Data'!$M$1, IF(C23='Privacy Screen Data'!$I$5,'Privacy Screen Data'!$N$1, IF(C23='Privacy Screen Data'!$I$6,'Privacy Screen Data'!$O$1, IF(C23='Privacy Screen Data'!$I$7,'Privacy Screen Data'!$P$1, IF(C23='Privacy Screen Data'!$I$8,'Privacy Screen Data'!$Q$1))))))))</f>
        <v>0</v>
      </c>
    </row>
    <row r="24" spans="1:39" ht="23.1" customHeight="1" x14ac:dyDescent="0.2">
      <c r="A24" s="79"/>
      <c r="B24" s="30"/>
      <c r="C24" s="411"/>
      <c r="D24" s="412"/>
      <c r="E24" s="412"/>
      <c r="F24" s="413"/>
      <c r="G24" s="15"/>
      <c r="H24" s="15"/>
      <c r="I24" s="147"/>
      <c r="J24" s="398"/>
      <c r="K24" s="399"/>
      <c r="L24" s="399"/>
      <c r="M24" s="399"/>
      <c r="N24" s="399"/>
      <c r="O24" s="399"/>
      <c r="P24" s="399"/>
      <c r="Q24" s="400"/>
      <c r="R24" s="422"/>
      <c r="S24" s="422"/>
      <c r="T24" s="422"/>
      <c r="U24" s="422"/>
      <c r="V24" s="422"/>
      <c r="W24" s="422"/>
      <c r="X24" s="421"/>
      <c r="Y24" s="421"/>
      <c r="Z24" s="421"/>
      <c r="AA24" s="421"/>
      <c r="AB24" s="421"/>
      <c r="AC24" s="421"/>
      <c r="AD24" s="421"/>
      <c r="AE24" s="421"/>
      <c r="AF24" s="421"/>
      <c r="AG24" s="421"/>
      <c r="AH24" s="421"/>
      <c r="AI24" s="421"/>
      <c r="AJ24" s="421"/>
      <c r="AK24" s="8"/>
      <c r="AL24" s="19" t="b">
        <f>IF(C24='Privacy Screen Data'!$I$1,'Privacy Screen Data'!$J$1, IF(C24='Privacy Screen Data'!$I$2,'Privacy Screen Data'!$K$1, IF(C24='Privacy Screen Data'!$I$3,'Privacy Screen Data'!$L$1, IF(C24='Privacy Screen Data'!$I$4,'Privacy Screen Data'!$M$1, IF(C24='Privacy Screen Data'!$I$5,'Privacy Screen Data'!$N$1, IF(C24='Privacy Screen Data'!$I$6,'Privacy Screen Data'!$O$1, IF(C24='Privacy Screen Data'!$I$7,'Privacy Screen Data'!$P$1, IF(C24='Privacy Screen Data'!$I$8,'Privacy Screen Data'!$Q$1))))))))</f>
        <v>0</v>
      </c>
    </row>
    <row r="25" spans="1:39" ht="23.1" customHeight="1" x14ac:dyDescent="0.2">
      <c r="A25" s="79"/>
      <c r="B25" s="78"/>
      <c r="C25" s="411"/>
      <c r="D25" s="412"/>
      <c r="E25" s="412"/>
      <c r="F25" s="413"/>
      <c r="G25" s="18"/>
      <c r="H25" s="15"/>
      <c r="I25" s="147"/>
      <c r="J25" s="398"/>
      <c r="K25" s="399"/>
      <c r="L25" s="399"/>
      <c r="M25" s="399"/>
      <c r="N25" s="399"/>
      <c r="O25" s="399"/>
      <c r="P25" s="399"/>
      <c r="Q25" s="400"/>
      <c r="R25" s="422"/>
      <c r="S25" s="422"/>
      <c r="T25" s="422"/>
      <c r="U25" s="422"/>
      <c r="V25" s="422"/>
      <c r="W25" s="422"/>
      <c r="X25" s="421"/>
      <c r="Y25" s="421"/>
      <c r="Z25" s="421"/>
      <c r="AA25" s="421"/>
      <c r="AB25" s="421"/>
      <c r="AC25" s="421"/>
      <c r="AD25" s="421"/>
      <c r="AE25" s="421"/>
      <c r="AF25" s="421"/>
      <c r="AG25" s="421"/>
      <c r="AH25" s="421"/>
      <c r="AI25" s="421"/>
      <c r="AJ25" s="421"/>
      <c r="AK25" s="8"/>
      <c r="AL25" s="19" t="b">
        <f>IF(C25='Privacy Screen Data'!$I$1,'Privacy Screen Data'!$J$1, IF(C25='Privacy Screen Data'!$I$2,'Privacy Screen Data'!$K$1, IF(C25='Privacy Screen Data'!$I$3,'Privacy Screen Data'!$L$1, IF(C25='Privacy Screen Data'!$I$4,'Privacy Screen Data'!$M$1, IF(C25='Privacy Screen Data'!$I$5,'Privacy Screen Data'!$N$1, IF(C25='Privacy Screen Data'!$I$6,'Privacy Screen Data'!$O$1, IF(C25='Privacy Screen Data'!$I$7,'Privacy Screen Data'!$P$1, IF(C25='Privacy Screen Data'!$I$8,'Privacy Screen Data'!$Q$1))))))))</f>
        <v>0</v>
      </c>
    </row>
    <row r="26" spans="1:39" ht="23.1" customHeight="1" x14ac:dyDescent="0.2">
      <c r="A26" s="79"/>
      <c r="B26" s="78"/>
      <c r="C26" s="411"/>
      <c r="D26" s="412"/>
      <c r="E26" s="412"/>
      <c r="F26" s="413"/>
      <c r="G26" s="18"/>
      <c r="H26" s="15"/>
      <c r="I26" s="147"/>
      <c r="J26" s="398"/>
      <c r="K26" s="399"/>
      <c r="L26" s="399"/>
      <c r="M26" s="399"/>
      <c r="N26" s="399"/>
      <c r="O26" s="399"/>
      <c r="P26" s="399"/>
      <c r="Q26" s="400"/>
      <c r="R26" s="422"/>
      <c r="S26" s="422"/>
      <c r="T26" s="422"/>
      <c r="U26" s="422"/>
      <c r="V26" s="422"/>
      <c r="W26" s="422"/>
      <c r="X26" s="421"/>
      <c r="Y26" s="421"/>
      <c r="Z26" s="421"/>
      <c r="AA26" s="421"/>
      <c r="AB26" s="421"/>
      <c r="AC26" s="421"/>
      <c r="AD26" s="421"/>
      <c r="AE26" s="421"/>
      <c r="AF26" s="421"/>
      <c r="AG26" s="421"/>
      <c r="AH26" s="421"/>
      <c r="AI26" s="421"/>
      <c r="AJ26" s="421"/>
      <c r="AK26" s="8"/>
      <c r="AL26" s="19" t="b">
        <f>IF(C26='Privacy Screen Data'!$I$1,'Privacy Screen Data'!$J$1, IF(C26='Privacy Screen Data'!$I$2,'Privacy Screen Data'!$K$1, IF(C26='Privacy Screen Data'!$I$3,'Privacy Screen Data'!$L$1, IF(C26='Privacy Screen Data'!$I$4,'Privacy Screen Data'!$M$1, IF(C26='Privacy Screen Data'!$I$5,'Privacy Screen Data'!$N$1, IF(C26='Privacy Screen Data'!$I$6,'Privacy Screen Data'!$O$1, IF(C26='Privacy Screen Data'!$I$7,'Privacy Screen Data'!$P$1, IF(C26='Privacy Screen Data'!$I$8,'Privacy Screen Data'!$Q$1))))))))</f>
        <v>0</v>
      </c>
    </row>
    <row r="27" spans="1:39" ht="23.1" customHeight="1" x14ac:dyDescent="0.2">
      <c r="A27" s="79"/>
      <c r="B27" s="78"/>
      <c r="C27" s="411"/>
      <c r="D27" s="412"/>
      <c r="E27" s="412"/>
      <c r="F27" s="413"/>
      <c r="G27" s="18"/>
      <c r="H27" s="15"/>
      <c r="I27" s="147"/>
      <c r="J27" s="398"/>
      <c r="K27" s="399"/>
      <c r="L27" s="399"/>
      <c r="M27" s="399"/>
      <c r="N27" s="399"/>
      <c r="O27" s="399"/>
      <c r="P27" s="399"/>
      <c r="Q27" s="400"/>
      <c r="R27" s="422"/>
      <c r="S27" s="422"/>
      <c r="T27" s="422"/>
      <c r="U27" s="422"/>
      <c r="V27" s="422"/>
      <c r="W27" s="422"/>
      <c r="X27" s="421"/>
      <c r="Y27" s="421"/>
      <c r="Z27" s="421"/>
      <c r="AA27" s="421"/>
      <c r="AB27" s="421"/>
      <c r="AC27" s="421"/>
      <c r="AD27" s="421"/>
      <c r="AE27" s="421"/>
      <c r="AF27" s="421"/>
      <c r="AG27" s="421"/>
      <c r="AH27" s="421"/>
      <c r="AI27" s="421"/>
      <c r="AJ27" s="421"/>
      <c r="AK27" s="8"/>
      <c r="AL27" s="19" t="b">
        <f>IF(C27='Privacy Screen Data'!$I$1,'Privacy Screen Data'!$J$1, IF(C27='Privacy Screen Data'!$I$2,'Privacy Screen Data'!$K$1, IF(C27='Privacy Screen Data'!$I$3,'Privacy Screen Data'!$L$1, IF(C27='Privacy Screen Data'!$I$4,'Privacy Screen Data'!$M$1, IF(C27='Privacy Screen Data'!$I$5,'Privacy Screen Data'!$N$1, IF(C27='Privacy Screen Data'!$I$6,'Privacy Screen Data'!$O$1, IF(C27='Privacy Screen Data'!$I$7,'Privacy Screen Data'!$P$1, IF(C27='Privacy Screen Data'!$I$8,'Privacy Screen Data'!$Q$1))))))))</f>
        <v>0</v>
      </c>
    </row>
    <row r="28" spans="1:39" ht="23.1" customHeight="1" x14ac:dyDescent="0.2">
      <c r="A28" s="79"/>
      <c r="B28" s="78"/>
      <c r="C28" s="411"/>
      <c r="D28" s="412"/>
      <c r="E28" s="412"/>
      <c r="F28" s="413"/>
      <c r="G28" s="18"/>
      <c r="H28" s="15"/>
      <c r="I28" s="147"/>
      <c r="J28" s="398"/>
      <c r="K28" s="399"/>
      <c r="L28" s="399"/>
      <c r="M28" s="399"/>
      <c r="N28" s="399"/>
      <c r="O28" s="399"/>
      <c r="P28" s="399"/>
      <c r="Q28" s="400"/>
      <c r="R28" s="422"/>
      <c r="S28" s="422"/>
      <c r="T28" s="422"/>
      <c r="U28" s="422"/>
      <c r="V28" s="422"/>
      <c r="W28" s="422"/>
      <c r="X28" s="421"/>
      <c r="Y28" s="421"/>
      <c r="Z28" s="421"/>
      <c r="AA28" s="421"/>
      <c r="AB28" s="421"/>
      <c r="AC28" s="421"/>
      <c r="AD28" s="421"/>
      <c r="AE28" s="421"/>
      <c r="AF28" s="421"/>
      <c r="AG28" s="421"/>
      <c r="AH28" s="421"/>
      <c r="AI28" s="421"/>
      <c r="AJ28" s="421"/>
      <c r="AK28" s="8"/>
      <c r="AL28" s="19" t="b">
        <f>IF(C28='Privacy Screen Data'!$I$1,'Privacy Screen Data'!$J$1, IF(C28='Privacy Screen Data'!$I$2,'Privacy Screen Data'!$K$1, IF(C28='Privacy Screen Data'!$I$3,'Privacy Screen Data'!$L$1, IF(C28='Privacy Screen Data'!$I$4,'Privacy Screen Data'!$M$1, IF(C28='Privacy Screen Data'!$I$5,'Privacy Screen Data'!$N$1, IF(C28='Privacy Screen Data'!$I$6,'Privacy Screen Data'!$O$1, IF(C28='Privacy Screen Data'!$I$7,'Privacy Screen Data'!$P$1, IF(C28='Privacy Screen Data'!$I$8,'Privacy Screen Data'!$Q$1))))))))</f>
        <v>0</v>
      </c>
    </row>
    <row r="29" spans="1:39" ht="23.1" customHeight="1" x14ac:dyDescent="0.2">
      <c r="A29" s="79"/>
      <c r="B29" s="78"/>
      <c r="C29" s="411"/>
      <c r="D29" s="412"/>
      <c r="E29" s="412"/>
      <c r="F29" s="413"/>
      <c r="G29" s="18"/>
      <c r="H29" s="15"/>
      <c r="I29" s="147"/>
      <c r="J29" s="398"/>
      <c r="K29" s="399"/>
      <c r="L29" s="399"/>
      <c r="M29" s="399"/>
      <c r="N29" s="399"/>
      <c r="O29" s="399"/>
      <c r="P29" s="399"/>
      <c r="Q29" s="400"/>
      <c r="R29" s="422"/>
      <c r="S29" s="422"/>
      <c r="T29" s="422"/>
      <c r="U29" s="422"/>
      <c r="V29" s="422"/>
      <c r="W29" s="422"/>
      <c r="X29" s="421"/>
      <c r="Y29" s="421"/>
      <c r="Z29" s="421"/>
      <c r="AA29" s="421"/>
      <c r="AB29" s="421"/>
      <c r="AC29" s="421"/>
      <c r="AD29" s="421"/>
      <c r="AE29" s="421"/>
      <c r="AF29" s="421"/>
      <c r="AG29" s="421"/>
      <c r="AH29" s="421"/>
      <c r="AI29" s="421"/>
      <c r="AJ29" s="421"/>
      <c r="AK29" s="8"/>
      <c r="AL29" s="19" t="b">
        <f>IF(C29='Privacy Screen Data'!$I$1,'Privacy Screen Data'!$J$1, IF(C29='Privacy Screen Data'!$I$2,'Privacy Screen Data'!$K$1, IF(C29='Privacy Screen Data'!$I$3,'Privacy Screen Data'!$L$1, IF(C29='Privacy Screen Data'!$I$4,'Privacy Screen Data'!$M$1, IF(C29='Privacy Screen Data'!$I$5,'Privacy Screen Data'!$N$1, IF(C29='Privacy Screen Data'!$I$6,'Privacy Screen Data'!$O$1, IF(C29='Privacy Screen Data'!$I$7,'Privacy Screen Data'!$P$1, IF(C29='Privacy Screen Data'!$I$8,'Privacy Screen Data'!$Q$1))))))))</f>
        <v>0</v>
      </c>
      <c r="AM29" s="19"/>
    </row>
    <row r="30" spans="1:39" ht="23.1" customHeight="1" x14ac:dyDescent="0.2">
      <c r="A30" s="79"/>
      <c r="B30" s="78"/>
      <c r="C30" s="411"/>
      <c r="D30" s="412"/>
      <c r="E30" s="412"/>
      <c r="F30" s="413"/>
      <c r="G30" s="18"/>
      <c r="H30" s="15"/>
      <c r="I30" s="147"/>
      <c r="J30" s="398"/>
      <c r="K30" s="399"/>
      <c r="L30" s="399"/>
      <c r="M30" s="399"/>
      <c r="N30" s="399"/>
      <c r="O30" s="399"/>
      <c r="P30" s="399"/>
      <c r="Q30" s="400"/>
      <c r="R30" s="422"/>
      <c r="S30" s="422"/>
      <c r="T30" s="422"/>
      <c r="U30" s="422"/>
      <c r="V30" s="422"/>
      <c r="W30" s="422"/>
      <c r="X30" s="421"/>
      <c r="Y30" s="421"/>
      <c r="Z30" s="421"/>
      <c r="AA30" s="421"/>
      <c r="AB30" s="421"/>
      <c r="AC30" s="421"/>
      <c r="AD30" s="421"/>
      <c r="AE30" s="421"/>
      <c r="AF30" s="421"/>
      <c r="AG30" s="421"/>
      <c r="AH30" s="421"/>
      <c r="AI30" s="421"/>
      <c r="AJ30" s="421"/>
      <c r="AK30" s="8"/>
      <c r="AL30" s="19" t="b">
        <f>IF(C30='Privacy Screen Data'!$I$1,'Privacy Screen Data'!$J$1, IF(C30='Privacy Screen Data'!$I$2,'Privacy Screen Data'!$K$1, IF(C30='Privacy Screen Data'!$I$3,'Privacy Screen Data'!$L$1, IF(C30='Privacy Screen Data'!$I$4,'Privacy Screen Data'!$M$1, IF(C30='Privacy Screen Data'!$I$5,'Privacy Screen Data'!$N$1, IF(C30='Privacy Screen Data'!$I$6,'Privacy Screen Data'!$O$1, IF(C30='Privacy Screen Data'!$I$7,'Privacy Screen Data'!$P$1, IF(C30='Privacy Screen Data'!$I$8,'Privacy Screen Data'!$Q$1))))))))</f>
        <v>0</v>
      </c>
    </row>
    <row r="31" spans="1:39" ht="23.1" customHeight="1" x14ac:dyDescent="0.2">
      <c r="A31" s="79"/>
      <c r="B31" s="78"/>
      <c r="C31" s="411"/>
      <c r="D31" s="412"/>
      <c r="E31" s="412"/>
      <c r="F31" s="413"/>
      <c r="G31" s="18"/>
      <c r="H31" s="15"/>
      <c r="I31" s="147"/>
      <c r="J31" s="398"/>
      <c r="K31" s="399"/>
      <c r="L31" s="399"/>
      <c r="M31" s="399"/>
      <c r="N31" s="399"/>
      <c r="O31" s="399"/>
      <c r="P31" s="399"/>
      <c r="Q31" s="400"/>
      <c r="R31" s="422"/>
      <c r="S31" s="422"/>
      <c r="T31" s="422"/>
      <c r="U31" s="422"/>
      <c r="V31" s="422"/>
      <c r="W31" s="422"/>
      <c r="X31" s="421"/>
      <c r="Y31" s="421"/>
      <c r="Z31" s="421"/>
      <c r="AA31" s="421"/>
      <c r="AB31" s="421"/>
      <c r="AC31" s="421"/>
      <c r="AD31" s="421"/>
      <c r="AE31" s="421"/>
      <c r="AF31" s="421"/>
      <c r="AG31" s="421"/>
      <c r="AH31" s="421"/>
      <c r="AI31" s="421"/>
      <c r="AJ31" s="421"/>
      <c r="AK31" s="8"/>
      <c r="AL31" s="19" t="b">
        <f>IF(C31='Privacy Screen Data'!$I$1,'Privacy Screen Data'!$J$1, IF(C31='Privacy Screen Data'!$I$2,'Privacy Screen Data'!$K$1, IF(C31='Privacy Screen Data'!$I$3,'Privacy Screen Data'!$L$1, IF(C31='Privacy Screen Data'!$I$4,'Privacy Screen Data'!$M$1, IF(C31='Privacy Screen Data'!$I$5,'Privacy Screen Data'!$N$1, IF(C31='Privacy Screen Data'!$I$6,'Privacy Screen Data'!$O$1, IF(C31='Privacy Screen Data'!$I$7,'Privacy Screen Data'!$P$1, IF(C31='Privacy Screen Data'!$I$8,'Privacy Screen Data'!$Q$1))))))))</f>
        <v>0</v>
      </c>
    </row>
    <row r="32" spans="1:39" ht="23.1" customHeight="1" x14ac:dyDescent="0.2">
      <c r="A32" s="79"/>
      <c r="B32" s="78"/>
      <c r="C32" s="411"/>
      <c r="D32" s="412"/>
      <c r="E32" s="412"/>
      <c r="F32" s="413"/>
      <c r="G32" s="18"/>
      <c r="H32" s="15"/>
      <c r="I32" s="147"/>
      <c r="J32" s="398"/>
      <c r="K32" s="399"/>
      <c r="L32" s="399"/>
      <c r="M32" s="399"/>
      <c r="N32" s="399"/>
      <c r="O32" s="399"/>
      <c r="P32" s="399"/>
      <c r="Q32" s="400"/>
      <c r="R32" s="422"/>
      <c r="S32" s="422"/>
      <c r="T32" s="422"/>
      <c r="U32" s="422"/>
      <c r="V32" s="422"/>
      <c r="W32" s="422"/>
      <c r="X32" s="421"/>
      <c r="Y32" s="421"/>
      <c r="Z32" s="421"/>
      <c r="AA32" s="421"/>
      <c r="AB32" s="421"/>
      <c r="AC32" s="421"/>
      <c r="AD32" s="421"/>
      <c r="AE32" s="421"/>
      <c r="AF32" s="421"/>
      <c r="AG32" s="421"/>
      <c r="AH32" s="421"/>
      <c r="AI32" s="421"/>
      <c r="AJ32" s="421"/>
      <c r="AK32" s="8"/>
      <c r="AL32" s="19" t="b">
        <f>IF(C32='Privacy Screen Data'!$I$1,'Privacy Screen Data'!$J$1, IF(C32='Privacy Screen Data'!$I$2,'Privacy Screen Data'!$K$1, IF(C32='Privacy Screen Data'!$I$3,'Privacy Screen Data'!$L$1, IF(C32='Privacy Screen Data'!$I$4,'Privacy Screen Data'!$M$1, IF(C32='Privacy Screen Data'!$I$5,'Privacy Screen Data'!$N$1, IF(C32='Privacy Screen Data'!$I$6,'Privacy Screen Data'!$O$1, IF(C32='Privacy Screen Data'!$I$7,'Privacy Screen Data'!$P$1, IF(C32='Privacy Screen Data'!$I$8,'Privacy Screen Data'!$Q$1))))))))</f>
        <v>0</v>
      </c>
    </row>
    <row r="33" spans="1:38" ht="23.1" customHeight="1" thickBot="1" x14ac:dyDescent="0.25">
      <c r="A33" s="77"/>
      <c r="B33" s="76"/>
      <c r="C33" s="459"/>
      <c r="D33" s="450"/>
      <c r="E33" s="450"/>
      <c r="F33" s="460"/>
      <c r="G33" s="22"/>
      <c r="H33" s="21"/>
      <c r="I33" s="147"/>
      <c r="J33" s="456"/>
      <c r="K33" s="457"/>
      <c r="L33" s="457"/>
      <c r="M33" s="457"/>
      <c r="N33" s="457"/>
      <c r="O33" s="457"/>
      <c r="P33" s="457"/>
      <c r="Q33" s="458"/>
      <c r="R33" s="422"/>
      <c r="S33" s="422"/>
      <c r="T33" s="422"/>
      <c r="U33" s="422"/>
      <c r="V33" s="422"/>
      <c r="W33" s="422"/>
      <c r="X33" s="421"/>
      <c r="Y33" s="421"/>
      <c r="Z33" s="421"/>
      <c r="AA33" s="421"/>
      <c r="AB33" s="421"/>
      <c r="AC33" s="421"/>
      <c r="AD33" s="421"/>
      <c r="AE33" s="421"/>
      <c r="AF33" s="421"/>
      <c r="AG33" s="421"/>
      <c r="AH33" s="421"/>
      <c r="AI33" s="421"/>
      <c r="AJ33" s="421"/>
      <c r="AK33" s="8"/>
      <c r="AL33" s="19" t="b">
        <f>IF(C33='Privacy Screen Data'!$I$1,'Privacy Screen Data'!$J$1, IF(C33='Privacy Screen Data'!$I$2,'Privacy Screen Data'!$K$1, IF(C33='Privacy Screen Data'!$I$3,'Privacy Screen Data'!$L$1, IF(C33='Privacy Screen Data'!$I$4,'Privacy Screen Data'!$M$1, IF(C33='Privacy Screen Data'!$I$5,'Privacy Screen Data'!$N$1, IF(C33='Privacy Screen Data'!$I$6,'Privacy Screen Data'!$O$1, IF(C33='Privacy Screen Data'!$I$7,'Privacy Screen Data'!$P$1, IF(C33='Privacy Screen Data'!$I$8,'Privacy Screen Data'!$Q$1))))))))</f>
        <v>0</v>
      </c>
    </row>
    <row r="34" spans="1:38" ht="31.5" customHeight="1" thickBot="1" x14ac:dyDescent="0.25">
      <c r="A34" s="146" t="s">
        <v>316</v>
      </c>
      <c r="B34" s="439" t="s">
        <v>295</v>
      </c>
      <c r="C34" s="440"/>
      <c r="D34" s="440"/>
      <c r="E34" s="440"/>
      <c r="F34" s="440"/>
      <c r="G34" s="440"/>
      <c r="H34" s="440"/>
      <c r="I34" s="440"/>
      <c r="J34" s="440"/>
      <c r="K34" s="440"/>
      <c r="L34" s="440"/>
      <c r="M34" s="436" t="s">
        <v>292</v>
      </c>
      <c r="N34" s="437"/>
      <c r="O34" s="437"/>
      <c r="P34" s="437"/>
      <c r="Q34" s="438"/>
    </row>
    <row r="35" spans="1:38" ht="23.1" customHeight="1" x14ac:dyDescent="0.2">
      <c r="A35" s="23">
        <v>1</v>
      </c>
      <c r="B35" s="470"/>
      <c r="C35" s="471"/>
      <c r="D35" s="471"/>
      <c r="E35" s="471"/>
      <c r="F35" s="471"/>
      <c r="G35" s="471"/>
      <c r="H35" s="471"/>
      <c r="I35" s="471"/>
      <c r="J35" s="471"/>
      <c r="K35" s="471"/>
      <c r="L35" s="472"/>
      <c r="M35" s="441"/>
      <c r="N35" s="442"/>
      <c r="O35" s="442"/>
      <c r="P35" s="442"/>
      <c r="Q35" s="443"/>
    </row>
    <row r="36" spans="1:38" ht="23.1" customHeight="1" x14ac:dyDescent="0.2">
      <c r="A36" s="14">
        <v>2</v>
      </c>
      <c r="B36" s="427"/>
      <c r="C36" s="412"/>
      <c r="D36" s="412"/>
      <c r="E36" s="412"/>
      <c r="F36" s="412"/>
      <c r="G36" s="412"/>
      <c r="H36" s="412"/>
      <c r="I36" s="412"/>
      <c r="J36" s="412"/>
      <c r="K36" s="412"/>
      <c r="L36" s="428"/>
      <c r="M36" s="444"/>
      <c r="N36" s="422"/>
      <c r="O36" s="422"/>
      <c r="P36" s="422"/>
      <c r="Q36" s="445"/>
    </row>
    <row r="37" spans="1:38" ht="23.1" customHeight="1" x14ac:dyDescent="0.2">
      <c r="A37" s="24">
        <v>3</v>
      </c>
      <c r="B37" s="427"/>
      <c r="C37" s="412"/>
      <c r="D37" s="412"/>
      <c r="E37" s="412"/>
      <c r="F37" s="412"/>
      <c r="G37" s="412"/>
      <c r="H37" s="412"/>
      <c r="I37" s="412"/>
      <c r="J37" s="412"/>
      <c r="K37" s="412"/>
      <c r="L37" s="428"/>
      <c r="M37" s="444"/>
      <c r="N37" s="422"/>
      <c r="O37" s="422"/>
      <c r="P37" s="422"/>
      <c r="Q37" s="445"/>
    </row>
    <row r="38" spans="1:38" ht="23.1" customHeight="1" x14ac:dyDescent="0.2">
      <c r="A38" s="23">
        <v>4</v>
      </c>
      <c r="B38" s="427"/>
      <c r="C38" s="412"/>
      <c r="D38" s="412"/>
      <c r="E38" s="412"/>
      <c r="F38" s="412"/>
      <c r="G38" s="412"/>
      <c r="H38" s="412"/>
      <c r="I38" s="412"/>
      <c r="J38" s="412"/>
      <c r="K38" s="412"/>
      <c r="L38" s="428"/>
      <c r="M38" s="444"/>
      <c r="N38" s="422"/>
      <c r="O38" s="422"/>
      <c r="P38" s="422"/>
      <c r="Q38" s="445"/>
    </row>
    <row r="39" spans="1:38" ht="23.1" customHeight="1" x14ac:dyDescent="0.2">
      <c r="A39" s="24">
        <v>5</v>
      </c>
      <c r="B39" s="427"/>
      <c r="C39" s="412"/>
      <c r="D39" s="412"/>
      <c r="E39" s="412"/>
      <c r="F39" s="412"/>
      <c r="G39" s="412"/>
      <c r="H39" s="412"/>
      <c r="I39" s="412"/>
      <c r="J39" s="412"/>
      <c r="K39" s="412"/>
      <c r="L39" s="428"/>
      <c r="M39" s="444"/>
      <c r="N39" s="422"/>
      <c r="O39" s="422"/>
      <c r="P39" s="422"/>
      <c r="Q39" s="445"/>
    </row>
    <row r="40" spans="1:38" ht="23.1" customHeight="1" x14ac:dyDescent="0.2">
      <c r="A40" s="14">
        <v>6</v>
      </c>
      <c r="B40" s="427"/>
      <c r="C40" s="412"/>
      <c r="D40" s="412"/>
      <c r="E40" s="412"/>
      <c r="F40" s="412"/>
      <c r="G40" s="412"/>
      <c r="H40" s="412"/>
      <c r="I40" s="412"/>
      <c r="J40" s="412"/>
      <c r="K40" s="412"/>
      <c r="L40" s="428"/>
      <c r="M40" s="444"/>
      <c r="N40" s="422"/>
      <c r="O40" s="422"/>
      <c r="P40" s="422"/>
      <c r="Q40" s="445"/>
    </row>
    <row r="41" spans="1:38" ht="23.1" customHeight="1" x14ac:dyDescent="0.2">
      <c r="A41" s="14">
        <v>7</v>
      </c>
      <c r="B41" s="427"/>
      <c r="C41" s="412"/>
      <c r="D41" s="412"/>
      <c r="E41" s="412"/>
      <c r="F41" s="412"/>
      <c r="G41" s="412"/>
      <c r="H41" s="412"/>
      <c r="I41" s="412"/>
      <c r="J41" s="412"/>
      <c r="K41" s="412"/>
      <c r="L41" s="428"/>
      <c r="M41" s="444"/>
      <c r="N41" s="422"/>
      <c r="O41" s="422"/>
      <c r="P41" s="422"/>
      <c r="Q41" s="445"/>
    </row>
    <row r="42" spans="1:38" ht="23.1" customHeight="1" x14ac:dyDescent="0.2">
      <c r="A42" s="14">
        <v>8</v>
      </c>
      <c r="B42" s="427"/>
      <c r="C42" s="412"/>
      <c r="D42" s="412"/>
      <c r="E42" s="412"/>
      <c r="F42" s="412"/>
      <c r="G42" s="412"/>
      <c r="H42" s="412"/>
      <c r="I42" s="412"/>
      <c r="J42" s="412"/>
      <c r="K42" s="412"/>
      <c r="L42" s="428"/>
      <c r="M42" s="444"/>
      <c r="N42" s="422"/>
      <c r="O42" s="422"/>
      <c r="P42" s="422"/>
      <c r="Q42" s="445"/>
    </row>
    <row r="43" spans="1:38" ht="23.1" customHeight="1" x14ac:dyDescent="0.2">
      <c r="A43" s="14">
        <v>9</v>
      </c>
      <c r="B43" s="427"/>
      <c r="C43" s="412"/>
      <c r="D43" s="412"/>
      <c r="E43" s="412"/>
      <c r="F43" s="412"/>
      <c r="G43" s="412"/>
      <c r="H43" s="412"/>
      <c r="I43" s="412"/>
      <c r="J43" s="412"/>
      <c r="K43" s="412"/>
      <c r="L43" s="428"/>
      <c r="M43" s="444"/>
      <c r="N43" s="422"/>
      <c r="O43" s="422"/>
      <c r="P43" s="422"/>
      <c r="Q43" s="445"/>
    </row>
    <row r="44" spans="1:38" ht="23.1" customHeight="1" x14ac:dyDescent="0.2">
      <c r="A44" s="14">
        <v>10</v>
      </c>
      <c r="B44" s="427"/>
      <c r="C44" s="412"/>
      <c r="D44" s="412"/>
      <c r="E44" s="412"/>
      <c r="F44" s="412"/>
      <c r="G44" s="412"/>
      <c r="H44" s="412"/>
      <c r="I44" s="412"/>
      <c r="J44" s="412"/>
      <c r="K44" s="412"/>
      <c r="L44" s="428"/>
      <c r="M44" s="444"/>
      <c r="N44" s="422"/>
      <c r="O44" s="422"/>
      <c r="P44" s="422"/>
      <c r="Q44" s="445"/>
    </row>
    <row r="45" spans="1:38" ht="23.1" customHeight="1" thickBot="1" x14ac:dyDescent="0.25">
      <c r="A45" s="20">
        <v>11</v>
      </c>
      <c r="B45" s="449"/>
      <c r="C45" s="450"/>
      <c r="D45" s="450"/>
      <c r="E45" s="450"/>
      <c r="F45" s="450"/>
      <c r="G45" s="450"/>
      <c r="H45" s="450"/>
      <c r="I45" s="450"/>
      <c r="J45" s="450"/>
      <c r="K45" s="450"/>
      <c r="L45" s="451"/>
      <c r="M45" s="446"/>
      <c r="N45" s="447"/>
      <c r="O45" s="447"/>
      <c r="P45" s="447"/>
      <c r="Q45" s="448"/>
    </row>
    <row r="46" spans="1:38" x14ac:dyDescent="0.2">
      <c r="B46" s="25"/>
      <c r="C46" s="25"/>
      <c r="D46" s="25"/>
      <c r="E46" s="25"/>
      <c r="F46" s="25"/>
      <c r="G46" s="25"/>
      <c r="H46" s="25"/>
      <c r="I46" s="25"/>
      <c r="J46" s="25"/>
      <c r="K46" s="25"/>
      <c r="L46" s="25"/>
    </row>
  </sheetData>
  <sheetProtection password="A0FF" sheet="1" objects="1" scenarios="1"/>
  <dataConsolidate/>
  <mergeCells count="114">
    <mergeCell ref="AG22:AJ22"/>
    <mergeCell ref="AA22:AF22"/>
    <mergeCell ref="R22:S22"/>
    <mergeCell ref="T22:W22"/>
    <mergeCell ref="X22:Z22"/>
    <mergeCell ref="R23:S23"/>
    <mergeCell ref="R24:S24"/>
    <mergeCell ref="R25:S25"/>
    <mergeCell ref="T24:W24"/>
    <mergeCell ref="X25:Z25"/>
    <mergeCell ref="X24:Z24"/>
    <mergeCell ref="AA24:AF24"/>
    <mergeCell ref="T23:W23"/>
    <mergeCell ref="X23:Z23"/>
    <mergeCell ref="AG23:AJ23"/>
    <mergeCell ref="AG24:AJ24"/>
    <mergeCell ref="AG25:AJ25"/>
    <mergeCell ref="A4:B4"/>
    <mergeCell ref="C4:D4"/>
    <mergeCell ref="J23:Q23"/>
    <mergeCell ref="J24:Q24"/>
    <mergeCell ref="J25:Q25"/>
    <mergeCell ref="M34:Q34"/>
    <mergeCell ref="B34:L34"/>
    <mergeCell ref="B41:L41"/>
    <mergeCell ref="B42:L42"/>
    <mergeCell ref="B40:L40"/>
    <mergeCell ref="B38:L38"/>
    <mergeCell ref="B39:L39"/>
    <mergeCell ref="M35:Q45"/>
    <mergeCell ref="B44:L44"/>
    <mergeCell ref="B45:L45"/>
    <mergeCell ref="A21:Q21"/>
    <mergeCell ref="J33:Q33"/>
    <mergeCell ref="C33:F33"/>
    <mergeCell ref="J4:O4"/>
    <mergeCell ref="M8:P8"/>
    <mergeCell ref="J22:Q22"/>
    <mergeCell ref="B35:L35"/>
    <mergeCell ref="B36:L36"/>
    <mergeCell ref="B37:L37"/>
    <mergeCell ref="R26:S26"/>
    <mergeCell ref="T26:W26"/>
    <mergeCell ref="C32:F32"/>
    <mergeCell ref="J31:Q31"/>
    <mergeCell ref="J32:Q32"/>
    <mergeCell ref="T30:W30"/>
    <mergeCell ref="T32:W32"/>
    <mergeCell ref="G7:K8"/>
    <mergeCell ref="B43:L43"/>
    <mergeCell ref="T25:W25"/>
    <mergeCell ref="C31:F31"/>
    <mergeCell ref="R27:S27"/>
    <mergeCell ref="R33:S33"/>
    <mergeCell ref="AG32:AJ32"/>
    <mergeCell ref="R28:S28"/>
    <mergeCell ref="AG27:AJ27"/>
    <mergeCell ref="R29:S29"/>
    <mergeCell ref="T28:W28"/>
    <mergeCell ref="X29:Z29"/>
    <mergeCell ref="R31:S31"/>
    <mergeCell ref="AA32:AF32"/>
    <mergeCell ref="X30:Z30"/>
    <mergeCell ref="AA28:AF28"/>
    <mergeCell ref="R30:S30"/>
    <mergeCell ref="R32:S32"/>
    <mergeCell ref="X26:Z26"/>
    <mergeCell ref="T27:W27"/>
    <mergeCell ref="AG33:AJ33"/>
    <mergeCell ref="X27:Z27"/>
    <mergeCell ref="AA27:AF27"/>
    <mergeCell ref="X33:Z33"/>
    <mergeCell ref="AG26:AJ26"/>
    <mergeCell ref="AA25:AF25"/>
    <mergeCell ref="AA23:AF23"/>
    <mergeCell ref="AA26:AF26"/>
    <mergeCell ref="AA31:AF31"/>
    <mergeCell ref="AA29:AF29"/>
    <mergeCell ref="AA30:AF30"/>
    <mergeCell ref="AG29:AJ29"/>
    <mergeCell ref="T33:W33"/>
    <mergeCell ref="T31:W31"/>
    <mergeCell ref="T29:W29"/>
    <mergeCell ref="AA33:AF33"/>
    <mergeCell ref="X31:Z31"/>
    <mergeCell ref="AG28:AJ28"/>
    <mergeCell ref="X32:Z32"/>
    <mergeCell ref="X28:Z28"/>
    <mergeCell ref="AG30:AJ30"/>
    <mergeCell ref="AG31:AJ31"/>
    <mergeCell ref="E2:G2"/>
    <mergeCell ref="J1:O1"/>
    <mergeCell ref="C23:F23"/>
    <mergeCell ref="J26:Q26"/>
    <mergeCell ref="J27:Q27"/>
    <mergeCell ref="J28:Q28"/>
    <mergeCell ref="J29:Q29"/>
    <mergeCell ref="J30:Q30"/>
    <mergeCell ref="F4:G4"/>
    <mergeCell ref="C7:D8"/>
    <mergeCell ref="A6:G6"/>
    <mergeCell ref="B7:B8"/>
    <mergeCell ref="C24:F24"/>
    <mergeCell ref="C25:F25"/>
    <mergeCell ref="C26:F26"/>
    <mergeCell ref="C27:F27"/>
    <mergeCell ref="C28:F28"/>
    <mergeCell ref="C29:F29"/>
    <mergeCell ref="C30:F30"/>
    <mergeCell ref="C22:F22"/>
    <mergeCell ref="E8:F8"/>
    <mergeCell ref="J2:O2"/>
    <mergeCell ref="J3:O3"/>
    <mergeCell ref="J5:O5"/>
  </mergeCells>
  <conditionalFormatting sqref="E10:F20">
    <cfRule type="containsErrors" dxfId="6" priority="1">
      <formula>ISERROR(E10)</formula>
    </cfRule>
  </conditionalFormatting>
  <dataValidations count="17">
    <dataValidation type="list" allowBlank="1" showInputMessage="1" showErrorMessage="1" errorTitle="Invalid Entry" error="Invalid Entry" sqref="I23:I33" xr:uid="{00000000-0002-0000-0300-000000000000}">
      <formula1>INDIRECT(AL23)</formula1>
    </dataValidation>
    <dataValidation allowBlank="1" showErrorMessage="1" errorTitle="Invalid Height Selected" error="Invalid Height Selected" sqref="E10:F20" xr:uid="{00000000-0002-0000-0300-000001000000}"/>
    <dataValidation type="list" allowBlank="1" showInputMessage="1" showErrorMessage="1" errorTitle="Invalid Entry" sqref="A23:A33" xr:uid="{00000000-0002-0000-0300-000002000000}">
      <formula1>Line_Item_Number</formula1>
    </dataValidation>
    <dataValidation allowBlank="1" showInputMessage="1" errorTitle="Please Enter Quantity" error="Please Enter Quantity" sqref="L10:L20" xr:uid="{00000000-0002-0000-0300-000003000000}"/>
    <dataValidation type="list" allowBlank="1" showInputMessage="1" showErrorMessage="1" errorTitle="Please Enter Quantity" error="Please Enter Quantity" sqref="N10:N20 P10:P20" xr:uid="{00000000-0002-0000-0300-000004000000}">
      <formula1>Quantity</formula1>
    </dataValidation>
    <dataValidation type="list" errorStyle="warning" allowBlank="1" showInputMessage="1" showErrorMessage="1" errorTitle="Please Enter Quantity" error="Please Enter Quantity" sqref="G10:G20 K10:K20" xr:uid="{00000000-0002-0000-0300-000005000000}">
      <formula1>Quantity</formula1>
    </dataValidation>
    <dataValidation type="list" allowBlank="1" showInputMessage="1" showErrorMessage="1" errorTitle="Invald Entry" error="Please Select From List" sqref="C23:D33" xr:uid="{00000000-0002-0000-0300-000006000000}">
      <formula1>Item</formula1>
    </dataValidation>
    <dataValidation allowBlank="1" showInputMessage="1" sqref="B23:B33 J23:J33 G23:H33" xr:uid="{00000000-0002-0000-0300-000007000000}"/>
    <dataValidation type="whole" errorStyle="information" allowBlank="1" showInputMessage="1" errorTitle="Be Aware" error="All openings over 3600mm wide will have framing split into 2 pieces." sqref="B10:B20" xr:uid="{00000000-0002-0000-0300-000008000000}">
      <formula1>1</formula1>
      <formula2>3600</formula2>
    </dataValidation>
    <dataValidation allowBlank="1" showErrorMessage="1" sqref="B34" xr:uid="{00000000-0002-0000-0300-000009000000}"/>
    <dataValidation type="whole" errorStyle="information" allowBlank="1" showInputMessage="1" showErrorMessage="1" errorTitle="Warning" error="Minimum Panel Width is 180mm._x000a__x000a_Maximum Panel Width is 1400mm." sqref="C10:C20" xr:uid="{00000000-0002-0000-0300-00000A000000}">
      <formula1>180</formula1>
      <formula2>1400</formula2>
    </dataValidation>
    <dataValidation type="whole" errorStyle="warning" allowBlank="1" showErrorMessage="1" errorTitle="Be Aware" error="Minimum Panel Width is 321mm._x000a__x000a_Maximum Panel Width is 2700mm." sqref="D10:D20" xr:uid="{00000000-0002-0000-0300-00000B000000}">
      <formula1>321</formula1>
      <formula2>2700</formula2>
    </dataValidation>
    <dataValidation type="list" allowBlank="1" showInputMessage="1" showErrorMessage="1" errorTitle="Invalid Entry" error="Invalid Entry" sqref="I10:I20" xr:uid="{00000000-0002-0000-0300-00000C000000}">
      <formula1>"Aluminium Screen"</formula1>
    </dataValidation>
    <dataValidation type="list" allowBlank="1" showInputMessage="1" showErrorMessage="1" errorTitle="Invalid Entry" error="Please Select From List" sqref="H10:H20" xr:uid="{00000000-0002-0000-0300-00000D000000}">
      <formula1>"89mm"</formula1>
    </dataValidation>
    <dataValidation type="list" allowBlank="1" showInputMessage="1" showErrorMessage="1" errorTitle="Invalid Entry" error="Invalid Entry" sqref="J10:J20" xr:uid="{00000000-0002-0000-0300-00000E000000}">
      <formula1>Colour</formula1>
    </dataValidation>
    <dataValidation type="whole" errorStyle="warning" allowBlank="1" showInputMessage="1" showErrorMessage="1" errorTitle="Maximum Length = 3000mm" error="Maximum Length = 3000mm" sqref="M10:M20 O10:O20" xr:uid="{00000000-0002-0000-0300-00000F000000}">
      <formula1>0</formula1>
      <formula2>3000</formula2>
    </dataValidation>
    <dataValidation allowBlank="1" sqref="R3:S21" xr:uid="{00000000-0002-0000-0300-000010000000}"/>
  </dataValidations>
  <printOptions horizontalCentered="1"/>
  <pageMargins left="0.19685039370078741" right="0.19685039370078741" top="0.19685039370078741" bottom="0.19685039370078741" header="0" footer="0"/>
  <pageSetup paperSize="9" scale="4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O120"/>
  <sheetViews>
    <sheetView topLeftCell="AD1" workbookViewId="0">
      <selection activeCell="AH30" sqref="AH30"/>
    </sheetView>
  </sheetViews>
  <sheetFormatPr defaultRowHeight="15" x14ac:dyDescent="0.2"/>
  <cols>
    <col min="1" max="1" width="14.33203125" customWidth="1"/>
    <col min="2" max="2" width="12.88671875" bestFit="1" customWidth="1"/>
    <col min="3" max="3" width="9.5546875" customWidth="1"/>
    <col min="19" max="19" width="25.109375" customWidth="1"/>
    <col min="21" max="21" width="22.6640625" bestFit="1" customWidth="1"/>
    <col min="22" max="22" width="103.109375" bestFit="1" customWidth="1"/>
    <col min="24" max="24" width="19.44140625" bestFit="1" customWidth="1"/>
    <col min="26" max="26" width="156.109375" bestFit="1" customWidth="1"/>
    <col min="28" max="28" width="16.6640625" bestFit="1" customWidth="1"/>
    <col min="30" max="30" width="28" bestFit="1" customWidth="1"/>
    <col min="33" max="33" width="15.109375" bestFit="1" customWidth="1"/>
    <col min="36" max="36" width="28.77734375" bestFit="1" customWidth="1"/>
    <col min="37" max="37" width="22.88671875" bestFit="1" customWidth="1"/>
    <col min="38" max="38" width="22.21875" bestFit="1" customWidth="1"/>
    <col min="39" max="40" width="21.88671875" bestFit="1" customWidth="1"/>
    <col min="41" max="41" width="22.109375" bestFit="1" customWidth="1"/>
    <col min="42" max="42" width="31" bestFit="1" customWidth="1"/>
    <col min="43" max="43" width="20.109375" customWidth="1"/>
    <col min="45" max="45" width="13.44140625" bestFit="1" customWidth="1"/>
    <col min="46" max="46" width="12.21875" bestFit="1" customWidth="1"/>
    <col min="47" max="47" width="14.33203125" bestFit="1" customWidth="1"/>
    <col min="49" max="49" width="22.6640625" bestFit="1" customWidth="1"/>
    <col min="51" max="51" width="15" bestFit="1" customWidth="1"/>
    <col min="52" max="52" width="12.109375" bestFit="1" customWidth="1"/>
    <col min="53" max="53" width="11" bestFit="1" customWidth="1"/>
    <col min="55" max="55" width="17" customWidth="1"/>
    <col min="58" max="58" width="13.5546875" customWidth="1"/>
    <col min="59" max="59" width="16.44140625" style="118" customWidth="1"/>
    <col min="60" max="61" width="11.6640625" style="118" bestFit="1" customWidth="1"/>
    <col min="62" max="63" width="8.88671875" style="118"/>
    <col min="65" max="65" width="15.109375" customWidth="1"/>
    <col min="68" max="68" width="16.33203125" bestFit="1" customWidth="1"/>
    <col min="69" max="69" width="16.109375" bestFit="1" customWidth="1"/>
    <col min="70" max="70" width="15.88671875" bestFit="1" customWidth="1"/>
    <col min="71" max="71" width="15.109375" bestFit="1" customWidth="1"/>
    <col min="72" max="72" width="13.21875" bestFit="1" customWidth="1"/>
    <col min="75" max="76" width="31.21875" bestFit="1" customWidth="1"/>
    <col min="83" max="83" width="15.5546875" customWidth="1"/>
    <col min="84" max="84" width="12.77734375" bestFit="1" customWidth="1"/>
    <col min="85" max="85" width="10.44140625" bestFit="1" customWidth="1"/>
    <col min="86" max="86" width="11.6640625" bestFit="1" customWidth="1"/>
    <col min="87" max="87" width="8.5546875" bestFit="1" customWidth="1"/>
    <col min="88" max="88" width="12.5546875" bestFit="1" customWidth="1"/>
  </cols>
  <sheetData>
    <row r="1" spans="1:93" ht="15.75" x14ac:dyDescent="0.25">
      <c r="A1" s="26" t="s">
        <v>23</v>
      </c>
      <c r="B1" t="s">
        <v>25</v>
      </c>
      <c r="C1" t="s">
        <v>24</v>
      </c>
      <c r="E1" s="26" t="s">
        <v>23</v>
      </c>
      <c r="G1" s="26" t="s">
        <v>38</v>
      </c>
      <c r="H1" s="26" t="s">
        <v>40</v>
      </c>
      <c r="I1" s="26" t="s">
        <v>41</v>
      </c>
      <c r="K1" s="26" t="s">
        <v>39</v>
      </c>
      <c r="L1" s="26" t="s">
        <v>42</v>
      </c>
      <c r="M1" s="26" t="s">
        <v>43</v>
      </c>
      <c r="O1" t="s">
        <v>47</v>
      </c>
      <c r="P1" t="s">
        <v>48</v>
      </c>
      <c r="Q1" t="s">
        <v>49</v>
      </c>
      <c r="S1" s="26" t="s">
        <v>60</v>
      </c>
      <c r="AG1" t="s">
        <v>163</v>
      </c>
      <c r="AJ1" s="109" t="s">
        <v>164</v>
      </c>
      <c r="AK1" s="110" t="s">
        <v>237</v>
      </c>
      <c r="AL1" s="111" t="s">
        <v>238</v>
      </c>
      <c r="AM1" s="112" t="s">
        <v>239</v>
      </c>
      <c r="AN1" s="113" t="s">
        <v>240</v>
      </c>
      <c r="AO1" t="s">
        <v>241</v>
      </c>
      <c r="AP1" s="26" t="s">
        <v>470</v>
      </c>
      <c r="AQ1" s="26" t="s">
        <v>500</v>
      </c>
      <c r="AS1" s="26" t="s">
        <v>244</v>
      </c>
      <c r="AT1" s="26" t="s">
        <v>245</v>
      </c>
      <c r="AU1" s="26" t="s">
        <v>246</v>
      </c>
      <c r="AY1" t="s">
        <v>2</v>
      </c>
      <c r="AZ1" t="s">
        <v>155</v>
      </c>
      <c r="BA1" t="s">
        <v>247</v>
      </c>
      <c r="BC1" s="26" t="s">
        <v>257</v>
      </c>
      <c r="BG1" s="131" t="s">
        <v>264</v>
      </c>
      <c r="BH1" s="131" t="s">
        <v>265</v>
      </c>
      <c r="BI1" s="131" t="s">
        <v>266</v>
      </c>
      <c r="BJ1" s="131" t="s">
        <v>267</v>
      </c>
      <c r="BK1" s="131" t="s">
        <v>268</v>
      </c>
      <c r="BM1" s="26" t="s">
        <v>263</v>
      </c>
      <c r="BO1" t="s">
        <v>46</v>
      </c>
      <c r="BP1" s="133" t="s">
        <v>271</v>
      </c>
      <c r="BQ1" s="134" t="s">
        <v>272</v>
      </c>
      <c r="BR1" s="135" t="s">
        <v>273</v>
      </c>
      <c r="BS1" s="136" t="s">
        <v>274</v>
      </c>
      <c r="BT1" s="137" t="s">
        <v>275</v>
      </c>
      <c r="BW1" s="26" t="s">
        <v>289</v>
      </c>
      <c r="BX1" s="26" t="s">
        <v>288</v>
      </c>
      <c r="BZ1" s="26" t="s">
        <v>46</v>
      </c>
      <c r="CA1">
        <v>900</v>
      </c>
      <c r="CD1" t="s">
        <v>162</v>
      </c>
      <c r="CF1" s="26" t="s">
        <v>319</v>
      </c>
      <c r="CG1" s="26" t="s">
        <v>320</v>
      </c>
      <c r="CH1" s="26" t="s">
        <v>321</v>
      </c>
      <c r="CI1" s="26" t="s">
        <v>322</v>
      </c>
      <c r="CJ1" s="26" t="s">
        <v>323</v>
      </c>
      <c r="CM1">
        <v>1</v>
      </c>
      <c r="CN1">
        <v>2</v>
      </c>
      <c r="CO1">
        <v>3</v>
      </c>
    </row>
    <row r="2" spans="1:93" x14ac:dyDescent="0.2">
      <c r="A2" t="s">
        <v>161</v>
      </c>
      <c r="B2" t="s">
        <v>161</v>
      </c>
      <c r="C2" t="s">
        <v>26</v>
      </c>
      <c r="E2" s="26" t="s">
        <v>25</v>
      </c>
      <c r="G2" s="26" t="s">
        <v>30</v>
      </c>
      <c r="H2" s="26" t="s">
        <v>30</v>
      </c>
      <c r="I2" s="26" t="s">
        <v>26</v>
      </c>
      <c r="K2" s="26" t="s">
        <v>31</v>
      </c>
      <c r="L2" s="26" t="s">
        <v>31</v>
      </c>
      <c r="M2" s="26" t="s">
        <v>26</v>
      </c>
      <c r="O2" t="s">
        <v>44</v>
      </c>
      <c r="P2" t="s">
        <v>44</v>
      </c>
      <c r="Q2" t="s">
        <v>26</v>
      </c>
      <c r="S2" s="26" t="s">
        <v>56</v>
      </c>
      <c r="AD2" t="s">
        <v>148</v>
      </c>
      <c r="AG2" t="s">
        <v>72</v>
      </c>
      <c r="AJ2" s="114" t="s">
        <v>46</v>
      </c>
      <c r="AK2" s="210" t="s">
        <v>165</v>
      </c>
      <c r="AL2" s="210" t="s">
        <v>168</v>
      </c>
      <c r="AM2" s="109" t="s">
        <v>166</v>
      </c>
      <c r="AN2" s="109" t="s">
        <v>26</v>
      </c>
      <c r="AO2" t="s">
        <v>26</v>
      </c>
      <c r="AP2" s="210" t="s">
        <v>464</v>
      </c>
      <c r="AQ2" t="s">
        <v>165</v>
      </c>
      <c r="AR2" s="26" t="s">
        <v>24</v>
      </c>
      <c r="AS2" s="26" t="s">
        <v>26</v>
      </c>
      <c r="AT2" s="26" t="s">
        <v>243</v>
      </c>
      <c r="AU2" s="26" t="s">
        <v>243</v>
      </c>
      <c r="AW2" s="26" t="s">
        <v>258</v>
      </c>
      <c r="AY2" t="s">
        <v>2</v>
      </c>
      <c r="AZ2" t="s">
        <v>155</v>
      </c>
      <c r="BA2">
        <v>0</v>
      </c>
      <c r="BC2" t="s">
        <v>161</v>
      </c>
      <c r="BD2" s="26" t="s">
        <v>19</v>
      </c>
      <c r="BF2" s="26" t="s">
        <v>46</v>
      </c>
      <c r="BG2" s="26" t="s">
        <v>158</v>
      </c>
      <c r="BH2" s="26" t="s">
        <v>158</v>
      </c>
      <c r="BI2" s="26" t="s">
        <v>158</v>
      </c>
      <c r="BJ2" s="131" t="s">
        <v>26</v>
      </c>
      <c r="BK2" s="131" t="s">
        <v>26</v>
      </c>
      <c r="BO2" t="s">
        <v>45</v>
      </c>
      <c r="BP2" s="26" t="s">
        <v>243</v>
      </c>
      <c r="BQ2" s="26" t="s">
        <v>26</v>
      </c>
      <c r="BR2" s="26" t="s">
        <v>243</v>
      </c>
      <c r="BS2" s="26" t="s">
        <v>26</v>
      </c>
      <c r="BT2" s="26" t="s">
        <v>26</v>
      </c>
      <c r="BW2" t="s">
        <v>277</v>
      </c>
      <c r="BX2" t="s">
        <v>277</v>
      </c>
      <c r="BZ2" s="26" t="s">
        <v>45</v>
      </c>
      <c r="CA2">
        <v>1350</v>
      </c>
      <c r="CD2" t="s">
        <v>44</v>
      </c>
      <c r="CF2" t="s">
        <v>161</v>
      </c>
      <c r="CG2" t="s">
        <v>29</v>
      </c>
      <c r="CH2" t="s">
        <v>27</v>
      </c>
      <c r="CI2" t="s">
        <v>26</v>
      </c>
      <c r="CJ2" t="s">
        <v>28</v>
      </c>
      <c r="CL2" t="s">
        <v>31</v>
      </c>
      <c r="CM2" s="26">
        <v>1</v>
      </c>
      <c r="CN2" s="26">
        <v>0</v>
      </c>
      <c r="CO2" s="26">
        <v>0</v>
      </c>
    </row>
    <row r="3" spans="1:93" x14ac:dyDescent="0.2">
      <c r="A3" t="s">
        <v>27</v>
      </c>
      <c r="B3" t="s">
        <v>27</v>
      </c>
      <c r="E3" s="26" t="s">
        <v>24</v>
      </c>
      <c r="G3" s="26" t="s">
        <v>19</v>
      </c>
      <c r="H3" s="26" t="s">
        <v>19</v>
      </c>
      <c r="K3" s="26" t="s">
        <v>32</v>
      </c>
      <c r="L3" s="26" t="s">
        <v>32</v>
      </c>
      <c r="O3" t="s">
        <v>46</v>
      </c>
      <c r="P3" t="s">
        <v>46</v>
      </c>
      <c r="S3" s="26" t="s">
        <v>54</v>
      </c>
      <c r="AD3" s="26" t="s">
        <v>349</v>
      </c>
      <c r="AG3" t="s">
        <v>71</v>
      </c>
      <c r="AJ3" s="115" t="s">
        <v>45</v>
      </c>
      <c r="AK3" s="210" t="s">
        <v>471</v>
      </c>
      <c r="AL3" s="210" t="s">
        <v>170</v>
      </c>
      <c r="AM3" s="109" t="s">
        <v>169</v>
      </c>
      <c r="AN3" s="109"/>
      <c r="AP3" s="210" t="s">
        <v>465</v>
      </c>
      <c r="AQ3" t="s">
        <v>471</v>
      </c>
      <c r="AR3" s="26" t="s">
        <v>23</v>
      </c>
      <c r="AY3" t="s">
        <v>166</v>
      </c>
      <c r="AZ3">
        <v>2</v>
      </c>
      <c r="BA3">
        <v>0</v>
      </c>
      <c r="BB3">
        <f>LEN(AY3)-LEN(SUBSTITUTE(AY3,"T",""))</f>
        <v>0</v>
      </c>
      <c r="BC3" t="s">
        <v>27</v>
      </c>
      <c r="BD3" s="26" t="s">
        <v>19</v>
      </c>
      <c r="BF3" s="26" t="s">
        <v>45</v>
      </c>
      <c r="BG3" s="26" t="s">
        <v>346</v>
      </c>
      <c r="BH3" s="26" t="s">
        <v>22</v>
      </c>
      <c r="BI3" s="26" t="s">
        <v>22</v>
      </c>
      <c r="BO3" t="s">
        <v>162</v>
      </c>
      <c r="BW3" t="s">
        <v>278</v>
      </c>
      <c r="BX3" t="s">
        <v>278</v>
      </c>
      <c r="BZ3" t="s">
        <v>162</v>
      </c>
      <c r="CA3">
        <v>600</v>
      </c>
      <c r="CD3" t="s">
        <v>46</v>
      </c>
      <c r="CL3" t="s">
        <v>32</v>
      </c>
      <c r="CM3" s="26">
        <v>1</v>
      </c>
      <c r="CN3" s="26">
        <v>0</v>
      </c>
      <c r="CO3" s="26">
        <v>0</v>
      </c>
    </row>
    <row r="4" spans="1:93" x14ac:dyDescent="0.2">
      <c r="A4" t="s">
        <v>28</v>
      </c>
      <c r="B4" t="s">
        <v>28</v>
      </c>
      <c r="K4" s="26" t="s">
        <v>33</v>
      </c>
      <c r="L4" s="26" t="s">
        <v>33</v>
      </c>
      <c r="O4" t="s">
        <v>45</v>
      </c>
      <c r="P4" t="s">
        <v>45</v>
      </c>
      <c r="S4" s="26" t="s">
        <v>51</v>
      </c>
      <c r="AD4" t="s">
        <v>352</v>
      </c>
      <c r="AG4" t="s">
        <v>69</v>
      </c>
      <c r="AJ4" s="135" t="s">
        <v>360</v>
      </c>
      <c r="AK4" s="210" t="s">
        <v>472</v>
      </c>
      <c r="AL4" s="210" t="s">
        <v>172</v>
      </c>
      <c r="AM4" s="109" t="s">
        <v>171</v>
      </c>
      <c r="AN4" s="109"/>
      <c r="AP4" s="210" t="s">
        <v>166</v>
      </c>
      <c r="AQ4" t="s">
        <v>472</v>
      </c>
      <c r="AR4" s="26" t="s">
        <v>25</v>
      </c>
      <c r="AY4" t="s">
        <v>190</v>
      </c>
      <c r="AZ4">
        <v>2</v>
      </c>
      <c r="BA4">
        <v>0</v>
      </c>
      <c r="BB4">
        <f t="shared" ref="BB4:BB67" si="0">LEN(AY4)-LEN(SUBSTITUTE(AY4,"T",""))</f>
        <v>0</v>
      </c>
      <c r="BC4" t="s">
        <v>28</v>
      </c>
      <c r="BD4" s="26" t="s">
        <v>19</v>
      </c>
      <c r="BF4" s="26" t="s">
        <v>162</v>
      </c>
      <c r="BG4" s="26" t="s">
        <v>22</v>
      </c>
      <c r="BH4" s="26" t="s">
        <v>263</v>
      </c>
      <c r="BI4" s="26" t="s">
        <v>263</v>
      </c>
      <c r="BO4" t="s">
        <v>44</v>
      </c>
      <c r="BW4" t="s">
        <v>286</v>
      </c>
      <c r="BX4" t="s">
        <v>286</v>
      </c>
      <c r="BZ4" t="s">
        <v>44</v>
      </c>
      <c r="CA4">
        <v>1500</v>
      </c>
      <c r="CD4" t="s">
        <v>26</v>
      </c>
      <c r="CL4" t="s">
        <v>33</v>
      </c>
      <c r="CM4" s="26">
        <v>1</v>
      </c>
      <c r="CN4" s="26">
        <v>1</v>
      </c>
      <c r="CO4" s="26">
        <v>0</v>
      </c>
    </row>
    <row r="5" spans="1:93" x14ac:dyDescent="0.2">
      <c r="A5" t="s">
        <v>29</v>
      </c>
      <c r="B5" t="s">
        <v>29</v>
      </c>
      <c r="K5" s="26" t="s">
        <v>34</v>
      </c>
      <c r="L5" s="26" t="s">
        <v>34</v>
      </c>
      <c r="S5" s="26" t="s">
        <v>50</v>
      </c>
      <c r="AD5" t="s">
        <v>351</v>
      </c>
      <c r="AG5" t="s">
        <v>67</v>
      </c>
      <c r="AJ5" s="116" t="s">
        <v>44</v>
      </c>
      <c r="AK5" s="210" t="s">
        <v>473</v>
      </c>
      <c r="AL5" s="210" t="s">
        <v>174</v>
      </c>
      <c r="AM5" s="109" t="s">
        <v>173</v>
      </c>
      <c r="AN5" s="109"/>
      <c r="AP5" s="210" t="s">
        <v>466</v>
      </c>
      <c r="AQ5" s="26" t="s">
        <v>226</v>
      </c>
      <c r="AY5" t="s">
        <v>181</v>
      </c>
      <c r="AZ5">
        <v>4</v>
      </c>
      <c r="BA5">
        <v>0</v>
      </c>
      <c r="BB5">
        <f t="shared" si="0"/>
        <v>0</v>
      </c>
      <c r="BC5" t="s">
        <v>29</v>
      </c>
      <c r="BD5" s="26" t="s">
        <v>19</v>
      </c>
      <c r="BF5" s="26" t="s">
        <v>44</v>
      </c>
      <c r="BG5" s="26" t="s">
        <v>263</v>
      </c>
      <c r="BH5" s="26"/>
      <c r="BI5" s="26"/>
      <c r="BO5" t="s">
        <v>26</v>
      </c>
      <c r="BW5" t="s">
        <v>287</v>
      </c>
      <c r="BX5" t="s">
        <v>287</v>
      </c>
      <c r="BZ5" t="s">
        <v>26</v>
      </c>
      <c r="CA5">
        <v>1500</v>
      </c>
      <c r="CD5" t="s">
        <v>45</v>
      </c>
      <c r="CL5" t="s">
        <v>34</v>
      </c>
      <c r="CM5" s="26">
        <v>1</v>
      </c>
      <c r="CN5" s="26">
        <v>1</v>
      </c>
      <c r="CO5" s="26">
        <v>0</v>
      </c>
    </row>
    <row r="6" spans="1:93" x14ac:dyDescent="0.2">
      <c r="K6" s="26" t="s">
        <v>35</v>
      </c>
      <c r="L6" s="26" t="s">
        <v>35</v>
      </c>
      <c r="S6" s="26" t="s">
        <v>55</v>
      </c>
      <c r="AD6" t="s">
        <v>350</v>
      </c>
      <c r="AJ6" s="117" t="s">
        <v>26</v>
      </c>
      <c r="AK6" s="210" t="s">
        <v>474</v>
      </c>
      <c r="AL6" s="210" t="s">
        <v>176</v>
      </c>
      <c r="AM6" s="109" t="s">
        <v>175</v>
      </c>
      <c r="AN6" s="109"/>
      <c r="AP6" s="210" t="s">
        <v>467</v>
      </c>
      <c r="AY6" t="s">
        <v>169</v>
      </c>
      <c r="AZ6">
        <v>4</v>
      </c>
      <c r="BA6">
        <v>0</v>
      </c>
      <c r="BB6">
        <f t="shared" si="0"/>
        <v>0</v>
      </c>
      <c r="BC6" s="26" t="s">
        <v>26</v>
      </c>
      <c r="BD6" s="26" t="s">
        <v>30</v>
      </c>
      <c r="BF6" t="s">
        <v>26</v>
      </c>
      <c r="BW6" t="s">
        <v>279</v>
      </c>
      <c r="BX6" t="s">
        <v>279</v>
      </c>
      <c r="CL6" t="s">
        <v>35</v>
      </c>
      <c r="CM6" s="26">
        <v>1</v>
      </c>
      <c r="CN6" s="26">
        <v>1</v>
      </c>
      <c r="CO6" s="26">
        <v>1</v>
      </c>
    </row>
    <row r="7" spans="1:93" x14ac:dyDescent="0.2">
      <c r="K7" s="26" t="s">
        <v>36</v>
      </c>
      <c r="L7" s="26" t="s">
        <v>36</v>
      </c>
      <c r="S7" s="26" t="s">
        <v>59</v>
      </c>
      <c r="AJ7" s="26" t="s">
        <v>358</v>
      </c>
      <c r="AK7" s="210" t="s">
        <v>475</v>
      </c>
      <c r="AL7" s="210" t="s">
        <v>178</v>
      </c>
      <c r="AM7" s="109" t="s">
        <v>177</v>
      </c>
      <c r="AN7" s="109"/>
      <c r="AP7" s="210" t="s">
        <v>468</v>
      </c>
      <c r="AY7" t="s">
        <v>193</v>
      </c>
      <c r="AZ7">
        <v>4</v>
      </c>
      <c r="BA7">
        <v>0</v>
      </c>
      <c r="BB7">
        <f t="shared" si="0"/>
        <v>0</v>
      </c>
      <c r="BW7" t="s">
        <v>280</v>
      </c>
      <c r="BX7" t="s">
        <v>280</v>
      </c>
      <c r="CL7" t="s">
        <v>36</v>
      </c>
      <c r="CM7" s="26">
        <v>1</v>
      </c>
      <c r="CN7" s="26">
        <v>1</v>
      </c>
      <c r="CO7" s="26">
        <v>1</v>
      </c>
    </row>
    <row r="8" spans="1:93" x14ac:dyDescent="0.2">
      <c r="K8" s="26" t="s">
        <v>37</v>
      </c>
      <c r="L8" s="26" t="s">
        <v>37</v>
      </c>
      <c r="S8" s="26" t="s">
        <v>57</v>
      </c>
      <c r="AJ8" s="26" t="s">
        <v>359</v>
      </c>
      <c r="AK8" s="210" t="s">
        <v>476</v>
      </c>
      <c r="AL8" s="210" t="s">
        <v>180</v>
      </c>
      <c r="AM8" s="109" t="s">
        <v>179</v>
      </c>
      <c r="AN8" s="109"/>
      <c r="AP8" s="210" t="s">
        <v>469</v>
      </c>
      <c r="AY8" t="s">
        <v>171</v>
      </c>
      <c r="AZ8">
        <v>6</v>
      </c>
      <c r="BA8">
        <v>0</v>
      </c>
      <c r="BB8">
        <f t="shared" si="0"/>
        <v>0</v>
      </c>
      <c r="BW8" t="s">
        <v>285</v>
      </c>
      <c r="BX8" t="s">
        <v>285</v>
      </c>
      <c r="CL8" t="s">
        <v>37</v>
      </c>
      <c r="CM8" s="26">
        <v>1</v>
      </c>
      <c r="CN8" s="26">
        <v>1</v>
      </c>
      <c r="CO8" s="26">
        <v>1</v>
      </c>
    </row>
    <row r="9" spans="1:93" x14ac:dyDescent="0.2">
      <c r="K9" s="26" t="s">
        <v>20</v>
      </c>
      <c r="L9" s="26" t="s">
        <v>20</v>
      </c>
      <c r="S9" s="26" t="s">
        <v>58</v>
      </c>
      <c r="AK9" s="210" t="s">
        <v>477</v>
      </c>
      <c r="AL9" s="210" t="s">
        <v>183</v>
      </c>
      <c r="AM9" s="109" t="s">
        <v>181</v>
      </c>
      <c r="AN9" s="109"/>
      <c r="AP9" s="210" t="s">
        <v>190</v>
      </c>
      <c r="AY9" t="s">
        <v>196</v>
      </c>
      <c r="AZ9">
        <v>6</v>
      </c>
      <c r="BA9">
        <v>0</v>
      </c>
      <c r="BB9">
        <f t="shared" si="0"/>
        <v>0</v>
      </c>
      <c r="BW9" t="s">
        <v>281</v>
      </c>
      <c r="BX9" t="s">
        <v>281</v>
      </c>
      <c r="CL9" t="s">
        <v>20</v>
      </c>
      <c r="CM9" s="26">
        <v>1</v>
      </c>
      <c r="CN9" s="26">
        <v>1</v>
      </c>
      <c r="CO9" s="26">
        <v>1</v>
      </c>
    </row>
    <row r="10" spans="1:93" x14ac:dyDescent="0.2">
      <c r="S10" s="26" t="s">
        <v>53</v>
      </c>
      <c r="AK10" s="210" t="s">
        <v>478</v>
      </c>
      <c r="AL10" s="210" t="s">
        <v>186</v>
      </c>
      <c r="AM10" s="109" t="s">
        <v>184</v>
      </c>
      <c r="AN10" s="109"/>
      <c r="AY10" t="s">
        <v>173</v>
      </c>
      <c r="AZ10">
        <v>8</v>
      </c>
      <c r="BA10">
        <v>0</v>
      </c>
      <c r="BB10">
        <f t="shared" si="0"/>
        <v>0</v>
      </c>
      <c r="BW10" t="s">
        <v>282</v>
      </c>
      <c r="BX10" t="s">
        <v>282</v>
      </c>
    </row>
    <row r="11" spans="1:93" x14ac:dyDescent="0.2">
      <c r="S11" s="26" t="s">
        <v>52</v>
      </c>
      <c r="AK11" s="210" t="s">
        <v>479</v>
      </c>
      <c r="AL11" s="210" t="s">
        <v>192</v>
      </c>
      <c r="AM11" s="109" t="s">
        <v>187</v>
      </c>
      <c r="AN11" s="109"/>
      <c r="AY11" t="s">
        <v>177</v>
      </c>
      <c r="AZ11">
        <v>6</v>
      </c>
      <c r="BA11">
        <v>0</v>
      </c>
      <c r="BB11">
        <f t="shared" si="0"/>
        <v>0</v>
      </c>
      <c r="BW11" t="s">
        <v>283</v>
      </c>
      <c r="BX11" t="s">
        <v>283</v>
      </c>
    </row>
    <row r="12" spans="1:93" x14ac:dyDescent="0.2">
      <c r="S12" s="26"/>
      <c r="AK12" s="210" t="s">
        <v>480</v>
      </c>
      <c r="AL12" s="210" t="s">
        <v>195</v>
      </c>
      <c r="AM12" s="109" t="s">
        <v>190</v>
      </c>
      <c r="AN12" s="109"/>
      <c r="AY12" t="s">
        <v>179</v>
      </c>
      <c r="AZ12">
        <v>8</v>
      </c>
      <c r="BA12">
        <v>0</v>
      </c>
      <c r="BB12">
        <f t="shared" si="0"/>
        <v>0</v>
      </c>
      <c r="BW12" t="s">
        <v>284</v>
      </c>
      <c r="BX12" t="s">
        <v>284</v>
      </c>
    </row>
    <row r="13" spans="1:93" x14ac:dyDescent="0.2">
      <c r="AK13" s="210" t="s">
        <v>481</v>
      </c>
      <c r="AL13" s="210" t="s">
        <v>198</v>
      </c>
      <c r="AM13" s="109" t="s">
        <v>193</v>
      </c>
      <c r="AN13" s="109"/>
      <c r="AY13" t="s">
        <v>175</v>
      </c>
      <c r="AZ13">
        <v>8</v>
      </c>
      <c r="BA13">
        <v>0</v>
      </c>
      <c r="BB13">
        <f t="shared" si="0"/>
        <v>0</v>
      </c>
    </row>
    <row r="14" spans="1:93" x14ac:dyDescent="0.2">
      <c r="AK14" s="210" t="s">
        <v>482</v>
      </c>
      <c r="AL14" s="210" t="s">
        <v>200</v>
      </c>
      <c r="AM14" s="109" t="s">
        <v>196</v>
      </c>
      <c r="AN14" s="109"/>
      <c r="AY14" t="s">
        <v>184</v>
      </c>
      <c r="AZ14">
        <v>6</v>
      </c>
      <c r="BA14">
        <v>0</v>
      </c>
      <c r="BB14">
        <f t="shared" si="0"/>
        <v>0</v>
      </c>
    </row>
    <row r="15" spans="1:93" x14ac:dyDescent="0.2">
      <c r="AK15" s="210" t="s">
        <v>483</v>
      </c>
      <c r="AL15" s="210" t="s">
        <v>204</v>
      </c>
      <c r="AM15" s="118"/>
      <c r="AN15" s="118"/>
      <c r="AY15" t="s">
        <v>187</v>
      </c>
      <c r="AZ15">
        <v>8</v>
      </c>
      <c r="BA15">
        <v>0</v>
      </c>
      <c r="BB15">
        <f t="shared" si="0"/>
        <v>0</v>
      </c>
    </row>
    <row r="16" spans="1:93" x14ac:dyDescent="0.2">
      <c r="AK16" s="210" t="s">
        <v>484</v>
      </c>
      <c r="AL16" s="210" t="s">
        <v>206</v>
      </c>
      <c r="AM16" s="118"/>
      <c r="AN16" s="118"/>
      <c r="AY16" t="s">
        <v>189</v>
      </c>
      <c r="AZ16">
        <v>1</v>
      </c>
      <c r="BA16">
        <v>0</v>
      </c>
      <c r="BB16">
        <f t="shared" si="0"/>
        <v>0</v>
      </c>
    </row>
    <row r="17" spans="21:54" x14ac:dyDescent="0.2">
      <c r="AK17" s="210" t="s">
        <v>218</v>
      </c>
      <c r="AL17" s="210" t="s">
        <v>208</v>
      </c>
      <c r="AM17" s="118"/>
      <c r="AN17" s="118"/>
      <c r="AY17" t="s">
        <v>192</v>
      </c>
      <c r="AZ17">
        <v>2</v>
      </c>
      <c r="BA17">
        <v>0</v>
      </c>
      <c r="BB17">
        <f t="shared" si="0"/>
        <v>0</v>
      </c>
    </row>
    <row r="18" spans="21:54" x14ac:dyDescent="0.2">
      <c r="AK18" s="210" t="s">
        <v>485</v>
      </c>
      <c r="AL18" s="210" t="s">
        <v>209</v>
      </c>
      <c r="AM18" s="118"/>
      <c r="AN18" s="118"/>
      <c r="AY18" t="s">
        <v>174</v>
      </c>
      <c r="AZ18">
        <v>2</v>
      </c>
      <c r="BA18">
        <v>0</v>
      </c>
      <c r="BB18">
        <f t="shared" si="0"/>
        <v>0</v>
      </c>
    </row>
    <row r="19" spans="21:54" x14ac:dyDescent="0.2">
      <c r="AK19" s="210" t="s">
        <v>486</v>
      </c>
      <c r="AL19" s="210" t="s">
        <v>210</v>
      </c>
      <c r="AM19" s="118"/>
      <c r="AN19" s="118"/>
      <c r="AY19" t="s">
        <v>202</v>
      </c>
      <c r="AZ19">
        <v>2</v>
      </c>
      <c r="BA19">
        <v>0</v>
      </c>
      <c r="BB19">
        <f t="shared" si="0"/>
        <v>0</v>
      </c>
    </row>
    <row r="20" spans="21:54" x14ac:dyDescent="0.2">
      <c r="AK20" s="210" t="s">
        <v>487</v>
      </c>
      <c r="AL20" s="210" t="s">
        <v>211</v>
      </c>
      <c r="AM20" s="118"/>
      <c r="AN20" s="118"/>
      <c r="AY20" t="s">
        <v>167</v>
      </c>
      <c r="AZ20">
        <v>2</v>
      </c>
      <c r="BA20">
        <v>0</v>
      </c>
      <c r="BB20">
        <f t="shared" si="0"/>
        <v>0</v>
      </c>
    </row>
    <row r="21" spans="21:54" x14ac:dyDescent="0.2">
      <c r="AK21" s="210" t="s">
        <v>488</v>
      </c>
      <c r="AL21" s="210"/>
      <c r="AM21" s="118"/>
      <c r="AN21" s="118"/>
      <c r="AY21" t="s">
        <v>207</v>
      </c>
      <c r="AZ21">
        <v>3</v>
      </c>
      <c r="BA21">
        <v>0</v>
      </c>
      <c r="BB21">
        <f t="shared" si="0"/>
        <v>0</v>
      </c>
    </row>
    <row r="22" spans="21:54" x14ac:dyDescent="0.2">
      <c r="AK22" s="210" t="s">
        <v>489</v>
      </c>
      <c r="AL22" s="210"/>
      <c r="AM22" s="118"/>
      <c r="AN22" s="118"/>
      <c r="AY22" t="s">
        <v>198</v>
      </c>
      <c r="AZ22">
        <v>3</v>
      </c>
      <c r="BA22">
        <v>0</v>
      </c>
      <c r="BB22">
        <f t="shared" si="0"/>
        <v>0</v>
      </c>
    </row>
    <row r="23" spans="21:54" x14ac:dyDescent="0.2">
      <c r="AK23" s="210" t="s">
        <v>490</v>
      </c>
      <c r="AL23" s="210"/>
      <c r="AM23" s="118"/>
      <c r="AN23" s="118"/>
      <c r="AY23" t="s">
        <v>176</v>
      </c>
      <c r="AZ23">
        <v>3</v>
      </c>
      <c r="BA23">
        <v>0</v>
      </c>
      <c r="BB23">
        <f t="shared" si="0"/>
        <v>0</v>
      </c>
    </row>
    <row r="24" spans="21:54" x14ac:dyDescent="0.2">
      <c r="AK24" s="210" t="s">
        <v>491</v>
      </c>
      <c r="AL24" s="210"/>
      <c r="AM24" s="118"/>
      <c r="AN24" s="118"/>
      <c r="AY24" t="s">
        <v>180</v>
      </c>
      <c r="AZ24">
        <v>3</v>
      </c>
      <c r="BA24">
        <v>0</v>
      </c>
      <c r="BB24">
        <f t="shared" si="0"/>
        <v>0</v>
      </c>
    </row>
    <row r="25" spans="21:54" x14ac:dyDescent="0.2">
      <c r="AK25" s="210" t="s">
        <v>492</v>
      </c>
      <c r="AL25" s="210"/>
      <c r="AM25" s="118"/>
      <c r="AN25" s="118"/>
      <c r="AY25" t="s">
        <v>209</v>
      </c>
      <c r="AZ25">
        <v>3</v>
      </c>
      <c r="BA25">
        <v>0</v>
      </c>
      <c r="BB25">
        <f t="shared" si="0"/>
        <v>0</v>
      </c>
    </row>
    <row r="26" spans="21:54" x14ac:dyDescent="0.2">
      <c r="AK26" s="210" t="s">
        <v>493</v>
      </c>
      <c r="AL26" s="210"/>
      <c r="AM26" s="118"/>
      <c r="AN26" s="118"/>
      <c r="AY26" t="s">
        <v>168</v>
      </c>
      <c r="AZ26">
        <v>4</v>
      </c>
      <c r="BA26">
        <v>0</v>
      </c>
      <c r="BB26">
        <f t="shared" si="0"/>
        <v>0</v>
      </c>
    </row>
    <row r="27" spans="21:54" x14ac:dyDescent="0.2">
      <c r="AK27" s="210" t="s">
        <v>494</v>
      </c>
      <c r="AL27" s="210"/>
      <c r="AM27" s="118"/>
      <c r="AN27" s="118"/>
      <c r="AY27" t="s">
        <v>178</v>
      </c>
      <c r="AZ27">
        <v>4</v>
      </c>
      <c r="BA27">
        <v>0</v>
      </c>
      <c r="BB27">
        <f t="shared" si="0"/>
        <v>0</v>
      </c>
    </row>
    <row r="28" spans="21:54" x14ac:dyDescent="0.2">
      <c r="AK28" s="210" t="s">
        <v>219</v>
      </c>
      <c r="AL28" s="210"/>
      <c r="AM28" s="118"/>
      <c r="AN28" s="118"/>
      <c r="AY28" t="s">
        <v>195</v>
      </c>
      <c r="AZ28">
        <v>4</v>
      </c>
      <c r="BA28">
        <v>0</v>
      </c>
      <c r="BB28">
        <f t="shared" si="0"/>
        <v>0</v>
      </c>
    </row>
    <row r="29" spans="21:54" x14ac:dyDescent="0.2">
      <c r="AK29" s="210" t="s">
        <v>221</v>
      </c>
      <c r="AL29" s="210"/>
      <c r="AM29" s="118"/>
      <c r="AN29" s="118"/>
      <c r="AY29" t="s">
        <v>200</v>
      </c>
      <c r="AZ29">
        <v>4</v>
      </c>
      <c r="BA29">
        <v>0</v>
      </c>
      <c r="BB29">
        <f t="shared" si="0"/>
        <v>0</v>
      </c>
    </row>
    <row r="30" spans="21:54" x14ac:dyDescent="0.2">
      <c r="U30" s="26"/>
      <c r="V30" s="26"/>
      <c r="AK30" s="210" t="s">
        <v>222</v>
      </c>
      <c r="AL30" s="210"/>
      <c r="AM30" s="118"/>
      <c r="AN30" s="118"/>
      <c r="AY30" t="s">
        <v>204</v>
      </c>
      <c r="AZ30">
        <v>4</v>
      </c>
      <c r="BA30">
        <v>0</v>
      </c>
      <c r="BB30">
        <f t="shared" si="0"/>
        <v>0</v>
      </c>
    </row>
    <row r="31" spans="21:54" x14ac:dyDescent="0.2">
      <c r="AK31" s="210" t="s">
        <v>225</v>
      </c>
      <c r="AL31" s="210"/>
      <c r="AM31" s="118"/>
      <c r="AN31" s="118"/>
      <c r="AY31" t="s">
        <v>211</v>
      </c>
      <c r="AZ31">
        <v>4</v>
      </c>
      <c r="BA31">
        <v>0</v>
      </c>
      <c r="BB31">
        <f t="shared" si="0"/>
        <v>0</v>
      </c>
    </row>
    <row r="32" spans="21:54" x14ac:dyDescent="0.2">
      <c r="AK32" s="210" t="s">
        <v>226</v>
      </c>
      <c r="AL32" s="210"/>
      <c r="AM32" s="118"/>
      <c r="AN32" s="118"/>
      <c r="AY32" t="s">
        <v>186</v>
      </c>
      <c r="AZ32">
        <v>4</v>
      </c>
      <c r="BA32">
        <v>0</v>
      </c>
      <c r="BB32">
        <f t="shared" si="0"/>
        <v>0</v>
      </c>
    </row>
    <row r="33" spans="21:54" x14ac:dyDescent="0.2">
      <c r="AK33" s="109"/>
      <c r="AL33" s="210"/>
      <c r="AM33" s="118"/>
      <c r="AN33" s="118"/>
      <c r="AY33" t="s">
        <v>170</v>
      </c>
      <c r="AZ33">
        <v>8</v>
      </c>
      <c r="BA33">
        <v>0</v>
      </c>
      <c r="BB33">
        <f t="shared" si="0"/>
        <v>0</v>
      </c>
    </row>
    <row r="34" spans="21:54" x14ac:dyDescent="0.2">
      <c r="AK34" s="109"/>
      <c r="AL34" s="210"/>
      <c r="AM34" s="118"/>
      <c r="AN34" s="118"/>
      <c r="AY34" t="s">
        <v>172</v>
      </c>
      <c r="AZ34">
        <v>6</v>
      </c>
      <c r="BA34">
        <v>0</v>
      </c>
      <c r="BB34">
        <f t="shared" si="0"/>
        <v>0</v>
      </c>
    </row>
    <row r="35" spans="21:54" x14ac:dyDescent="0.2">
      <c r="AK35" s="109"/>
      <c r="AL35" s="210"/>
      <c r="AM35" s="118"/>
      <c r="AN35" s="118"/>
      <c r="AY35" t="s">
        <v>183</v>
      </c>
      <c r="AZ35">
        <v>6</v>
      </c>
      <c r="BA35">
        <v>0</v>
      </c>
      <c r="BB35">
        <f t="shared" si="0"/>
        <v>0</v>
      </c>
    </row>
    <row r="36" spans="21:54" x14ac:dyDescent="0.2">
      <c r="AK36" s="109"/>
      <c r="AL36" s="210"/>
      <c r="AM36" s="118"/>
      <c r="AN36" s="118"/>
      <c r="AY36" t="s">
        <v>206</v>
      </c>
      <c r="AZ36">
        <v>8</v>
      </c>
      <c r="BA36">
        <v>0</v>
      </c>
      <c r="BB36">
        <f t="shared" si="0"/>
        <v>0</v>
      </c>
    </row>
    <row r="37" spans="21:54" x14ac:dyDescent="0.2">
      <c r="AK37" s="109"/>
      <c r="AL37" s="210"/>
      <c r="AM37" s="118"/>
      <c r="AN37" s="118"/>
      <c r="AY37" t="s">
        <v>208</v>
      </c>
      <c r="AZ37">
        <v>6</v>
      </c>
      <c r="BA37">
        <v>0</v>
      </c>
      <c r="BB37">
        <f t="shared" si="0"/>
        <v>0</v>
      </c>
    </row>
    <row r="38" spans="21:54" x14ac:dyDescent="0.2">
      <c r="AK38" s="109"/>
      <c r="AL38" s="210"/>
      <c r="AM38" s="118"/>
      <c r="AN38" s="118"/>
      <c r="AY38" t="s">
        <v>210</v>
      </c>
      <c r="AZ38">
        <v>6</v>
      </c>
      <c r="BA38">
        <v>0</v>
      </c>
      <c r="BB38">
        <f t="shared" si="0"/>
        <v>0</v>
      </c>
    </row>
    <row r="39" spans="21:54" x14ac:dyDescent="0.2">
      <c r="AK39" s="109"/>
      <c r="AL39" s="210"/>
      <c r="AM39" s="118"/>
      <c r="AN39" s="118"/>
      <c r="AY39" t="s">
        <v>165</v>
      </c>
      <c r="AZ39">
        <v>1</v>
      </c>
      <c r="BA39">
        <v>0</v>
      </c>
      <c r="BB39">
        <f t="shared" si="0"/>
        <v>0</v>
      </c>
    </row>
    <row r="40" spans="21:54" x14ac:dyDescent="0.2">
      <c r="AK40" s="109"/>
      <c r="AL40" s="210"/>
      <c r="AM40" s="118"/>
      <c r="AN40" s="118"/>
      <c r="AY40" t="s">
        <v>226</v>
      </c>
      <c r="AZ40">
        <v>1</v>
      </c>
      <c r="BA40">
        <v>0</v>
      </c>
      <c r="BB40">
        <f t="shared" si="0"/>
        <v>0</v>
      </c>
    </row>
    <row r="41" spans="21:54" x14ac:dyDescent="0.2">
      <c r="U41" s="26"/>
      <c r="V41" s="26"/>
      <c r="AK41" s="109"/>
      <c r="AL41" s="210"/>
      <c r="AM41" s="118"/>
      <c r="AN41" s="118"/>
      <c r="AY41" t="s">
        <v>471</v>
      </c>
      <c r="AZ41">
        <v>2</v>
      </c>
      <c r="BA41">
        <v>0</v>
      </c>
      <c r="BB41">
        <f t="shared" si="0"/>
        <v>0</v>
      </c>
    </row>
    <row r="42" spans="21:54" x14ac:dyDescent="0.2">
      <c r="AK42" s="109"/>
      <c r="AL42" s="210"/>
      <c r="AM42" s="118"/>
      <c r="AN42" s="118"/>
      <c r="AY42" t="s">
        <v>472</v>
      </c>
      <c r="AZ42">
        <v>2</v>
      </c>
      <c r="BA42">
        <v>0</v>
      </c>
      <c r="BB42">
        <f t="shared" si="0"/>
        <v>0</v>
      </c>
    </row>
    <row r="43" spans="21:54" x14ac:dyDescent="0.2">
      <c r="AK43" s="109"/>
      <c r="AL43" s="210"/>
      <c r="AM43" s="118"/>
      <c r="AN43" s="118"/>
      <c r="AY43" t="s">
        <v>222</v>
      </c>
      <c r="AZ43">
        <v>2</v>
      </c>
      <c r="BA43">
        <v>1</v>
      </c>
      <c r="BB43">
        <f t="shared" si="0"/>
        <v>1</v>
      </c>
    </row>
    <row r="44" spans="21:54" x14ac:dyDescent="0.2">
      <c r="AK44" s="109"/>
      <c r="AL44" s="210"/>
      <c r="AM44" s="118"/>
      <c r="AN44" s="118"/>
      <c r="AY44" t="s">
        <v>218</v>
      </c>
      <c r="AZ44">
        <v>2</v>
      </c>
      <c r="BA44">
        <v>1</v>
      </c>
      <c r="BB44">
        <f t="shared" si="0"/>
        <v>1</v>
      </c>
    </row>
    <row r="45" spans="21:54" x14ac:dyDescent="0.2">
      <c r="AK45" s="109"/>
      <c r="AL45" s="118"/>
      <c r="AM45" s="118"/>
      <c r="AN45" s="118"/>
      <c r="AY45" t="s">
        <v>234</v>
      </c>
      <c r="AZ45">
        <v>2</v>
      </c>
      <c r="BA45">
        <v>1</v>
      </c>
      <c r="BB45">
        <f>LEN(AY45)-LEN(SUBSTITUTE(AY45,"T",""))</f>
        <v>1</v>
      </c>
    </row>
    <row r="46" spans="21:54" x14ac:dyDescent="0.2">
      <c r="AK46" s="109"/>
      <c r="AL46" s="118"/>
      <c r="AM46" s="118"/>
      <c r="AN46" s="118"/>
      <c r="AY46" t="s">
        <v>232</v>
      </c>
      <c r="AZ46">
        <v>2</v>
      </c>
      <c r="BA46">
        <v>1</v>
      </c>
      <c r="BB46">
        <f t="shared" si="0"/>
        <v>1</v>
      </c>
    </row>
    <row r="47" spans="21:54" x14ac:dyDescent="0.2">
      <c r="AK47" s="109"/>
      <c r="AL47" s="118"/>
      <c r="AM47" s="118"/>
      <c r="AN47" s="118"/>
      <c r="AY47" t="s">
        <v>473</v>
      </c>
      <c r="AZ47">
        <v>3</v>
      </c>
      <c r="BA47">
        <v>1</v>
      </c>
      <c r="BB47">
        <f t="shared" si="0"/>
        <v>1</v>
      </c>
    </row>
    <row r="48" spans="21:54" x14ac:dyDescent="0.2">
      <c r="AK48" s="109"/>
      <c r="AL48" s="118"/>
      <c r="AM48" s="118"/>
      <c r="AN48" s="118"/>
      <c r="AY48" t="s">
        <v>474</v>
      </c>
      <c r="AZ48">
        <v>3</v>
      </c>
      <c r="BA48">
        <v>1</v>
      </c>
      <c r="BB48">
        <f t="shared" si="0"/>
        <v>1</v>
      </c>
    </row>
    <row r="49" spans="37:54" x14ac:dyDescent="0.2">
      <c r="AK49" s="109"/>
      <c r="AL49" s="118"/>
      <c r="AM49" s="118"/>
      <c r="AN49" s="118"/>
      <c r="AY49" t="s">
        <v>483</v>
      </c>
      <c r="AZ49">
        <v>3</v>
      </c>
      <c r="BA49">
        <v>1</v>
      </c>
      <c r="BB49">
        <f t="shared" si="0"/>
        <v>1</v>
      </c>
    </row>
    <row r="50" spans="37:54" x14ac:dyDescent="0.2">
      <c r="AK50" s="109"/>
      <c r="AL50" s="118"/>
      <c r="AM50" s="118"/>
      <c r="AN50" s="118"/>
      <c r="AY50" t="s">
        <v>484</v>
      </c>
      <c r="AZ50">
        <v>3</v>
      </c>
      <c r="BA50">
        <v>1</v>
      </c>
      <c r="BB50">
        <f t="shared" si="0"/>
        <v>1</v>
      </c>
    </row>
    <row r="51" spans="37:54" x14ac:dyDescent="0.2">
      <c r="AK51" s="109"/>
      <c r="AL51" s="118"/>
      <c r="AM51" s="118"/>
      <c r="AN51" s="118"/>
      <c r="AY51" t="s">
        <v>485</v>
      </c>
      <c r="AZ51">
        <v>3</v>
      </c>
      <c r="BA51">
        <v>1</v>
      </c>
      <c r="BB51">
        <f t="shared" si="0"/>
        <v>1</v>
      </c>
    </row>
    <row r="52" spans="37:54" x14ac:dyDescent="0.2">
      <c r="AK52" s="109"/>
      <c r="AL52" s="118"/>
      <c r="AM52" s="118"/>
      <c r="AN52" s="118"/>
      <c r="AY52" t="s">
        <v>486</v>
      </c>
      <c r="AZ52">
        <v>3</v>
      </c>
      <c r="BA52">
        <v>1</v>
      </c>
      <c r="BB52">
        <f t="shared" si="0"/>
        <v>1</v>
      </c>
    </row>
    <row r="53" spans="37:54" x14ac:dyDescent="0.2">
      <c r="AK53" s="109"/>
      <c r="AL53" s="118"/>
      <c r="AM53" s="118"/>
      <c r="AN53" s="118"/>
      <c r="AY53" t="s">
        <v>219</v>
      </c>
      <c r="AZ53">
        <v>3</v>
      </c>
      <c r="BA53">
        <v>2</v>
      </c>
      <c r="BB53">
        <f t="shared" si="0"/>
        <v>2</v>
      </c>
    </row>
    <row r="54" spans="37:54" x14ac:dyDescent="0.2">
      <c r="AK54" s="109"/>
      <c r="AL54" s="118"/>
      <c r="AM54" s="118"/>
      <c r="AN54" s="118"/>
      <c r="AY54" t="s">
        <v>519</v>
      </c>
      <c r="AZ54">
        <v>3</v>
      </c>
      <c r="BA54">
        <v>1</v>
      </c>
      <c r="BB54">
        <f t="shared" si="0"/>
        <v>1</v>
      </c>
    </row>
    <row r="55" spans="37:54" x14ac:dyDescent="0.2">
      <c r="AK55" s="109"/>
      <c r="AL55" s="118"/>
      <c r="AM55" s="118"/>
      <c r="AN55" s="118"/>
      <c r="AY55" t="s">
        <v>520</v>
      </c>
      <c r="AZ55">
        <v>3</v>
      </c>
      <c r="BA55">
        <v>1</v>
      </c>
      <c r="BB55">
        <f t="shared" si="0"/>
        <v>1</v>
      </c>
    </row>
    <row r="56" spans="37:54" x14ac:dyDescent="0.2">
      <c r="AK56" s="109"/>
      <c r="AL56" s="118"/>
      <c r="AM56" s="118"/>
      <c r="AN56" s="118"/>
      <c r="AY56" t="s">
        <v>236</v>
      </c>
      <c r="AZ56">
        <v>3</v>
      </c>
      <c r="BA56">
        <v>2</v>
      </c>
      <c r="BB56">
        <f t="shared" si="0"/>
        <v>2</v>
      </c>
    </row>
    <row r="57" spans="37:54" x14ac:dyDescent="0.2">
      <c r="AK57" s="109"/>
      <c r="AL57" s="118"/>
      <c r="AM57" s="118"/>
      <c r="AN57" s="118"/>
      <c r="AY57" t="s">
        <v>221</v>
      </c>
      <c r="AZ57">
        <v>3</v>
      </c>
      <c r="BA57">
        <v>2</v>
      </c>
      <c r="BB57">
        <f t="shared" si="0"/>
        <v>2</v>
      </c>
    </row>
    <row r="58" spans="37:54" x14ac:dyDescent="0.2">
      <c r="AK58" s="109"/>
      <c r="AL58" s="118"/>
      <c r="AM58" s="118"/>
      <c r="AN58" s="118"/>
      <c r="AY58" t="s">
        <v>225</v>
      </c>
      <c r="AZ58">
        <v>3</v>
      </c>
      <c r="BA58">
        <v>2</v>
      </c>
      <c r="BB58">
        <f t="shared" si="0"/>
        <v>2</v>
      </c>
    </row>
    <row r="59" spans="37:54" x14ac:dyDescent="0.2">
      <c r="AK59" s="109"/>
      <c r="AL59" s="118"/>
      <c r="AM59" s="118"/>
      <c r="AN59" s="118"/>
      <c r="AY59" t="s">
        <v>235</v>
      </c>
      <c r="AZ59">
        <v>3</v>
      </c>
      <c r="BA59">
        <v>2</v>
      </c>
      <c r="BB59">
        <f t="shared" si="0"/>
        <v>2</v>
      </c>
    </row>
    <row r="60" spans="37:54" x14ac:dyDescent="0.2">
      <c r="AK60" s="109"/>
      <c r="AL60" s="118"/>
      <c r="AM60" s="118"/>
      <c r="AN60" s="118"/>
      <c r="AY60" t="s">
        <v>233</v>
      </c>
      <c r="AZ60">
        <v>3</v>
      </c>
      <c r="BA60">
        <v>2</v>
      </c>
      <c r="BB60">
        <f t="shared" si="0"/>
        <v>2</v>
      </c>
    </row>
    <row r="61" spans="37:54" x14ac:dyDescent="0.2">
      <c r="AK61" s="109"/>
      <c r="AL61" s="118"/>
      <c r="AM61" s="118"/>
      <c r="AN61" s="118"/>
      <c r="AY61" t="s">
        <v>475</v>
      </c>
      <c r="AZ61">
        <v>4</v>
      </c>
      <c r="BA61">
        <v>1</v>
      </c>
      <c r="BB61">
        <f t="shared" si="0"/>
        <v>1</v>
      </c>
    </row>
    <row r="62" spans="37:54" x14ac:dyDescent="0.2">
      <c r="AK62" s="109"/>
      <c r="AL62" s="118"/>
      <c r="AM62" s="118"/>
      <c r="AN62" s="118"/>
      <c r="AY62" t="s">
        <v>476</v>
      </c>
      <c r="AZ62">
        <v>4</v>
      </c>
      <c r="BA62">
        <v>1</v>
      </c>
      <c r="BB62">
        <f t="shared" si="0"/>
        <v>1</v>
      </c>
    </row>
    <row r="63" spans="37:54" x14ac:dyDescent="0.2">
      <c r="AK63" s="109"/>
      <c r="AL63" s="118"/>
      <c r="AM63" s="118"/>
      <c r="AN63" s="118"/>
      <c r="AY63" t="s">
        <v>477</v>
      </c>
      <c r="AZ63">
        <v>4</v>
      </c>
      <c r="BA63">
        <v>1</v>
      </c>
      <c r="BB63">
        <f t="shared" si="0"/>
        <v>1</v>
      </c>
    </row>
    <row r="64" spans="37:54" x14ac:dyDescent="0.2">
      <c r="AK64" s="109"/>
      <c r="AL64" s="118"/>
      <c r="AM64" s="118"/>
      <c r="AN64" s="118"/>
      <c r="AY64" t="s">
        <v>491</v>
      </c>
      <c r="AZ64">
        <v>4</v>
      </c>
      <c r="BA64">
        <v>2</v>
      </c>
      <c r="BB64">
        <f t="shared" si="0"/>
        <v>2</v>
      </c>
    </row>
    <row r="65" spans="37:54" x14ac:dyDescent="0.2">
      <c r="AK65" s="109"/>
      <c r="AL65" s="118"/>
      <c r="AM65" s="118"/>
      <c r="AN65" s="118"/>
      <c r="AY65" t="s">
        <v>492</v>
      </c>
      <c r="AZ65">
        <v>4</v>
      </c>
      <c r="BA65">
        <v>2</v>
      </c>
      <c r="BB65">
        <f t="shared" si="0"/>
        <v>2</v>
      </c>
    </row>
    <row r="66" spans="37:54" x14ac:dyDescent="0.2">
      <c r="AY66" t="s">
        <v>521</v>
      </c>
      <c r="AZ66">
        <v>4</v>
      </c>
      <c r="BA66">
        <v>2</v>
      </c>
      <c r="BB66">
        <f t="shared" si="0"/>
        <v>2</v>
      </c>
    </row>
    <row r="67" spans="37:54" x14ac:dyDescent="0.2">
      <c r="AY67" t="s">
        <v>522</v>
      </c>
      <c r="AZ67">
        <v>4</v>
      </c>
      <c r="BA67">
        <v>2</v>
      </c>
      <c r="BB67">
        <f t="shared" si="0"/>
        <v>2</v>
      </c>
    </row>
    <row r="68" spans="37:54" x14ac:dyDescent="0.2">
      <c r="AY68" t="s">
        <v>478</v>
      </c>
      <c r="AZ68">
        <v>5</v>
      </c>
      <c r="BA68">
        <v>2</v>
      </c>
      <c r="BB68">
        <f t="shared" ref="BB68:BB120" si="1">LEN(AY68)-LEN(SUBSTITUTE(AY68,"T",""))</f>
        <v>2</v>
      </c>
    </row>
    <row r="69" spans="37:54" x14ac:dyDescent="0.2">
      <c r="AY69" t="s">
        <v>481</v>
      </c>
      <c r="AZ69">
        <v>5</v>
      </c>
      <c r="BA69">
        <v>2</v>
      </c>
      <c r="BB69">
        <f t="shared" si="1"/>
        <v>2</v>
      </c>
    </row>
    <row r="70" spans="37:54" x14ac:dyDescent="0.2">
      <c r="AY70" t="s">
        <v>482</v>
      </c>
      <c r="AZ70">
        <v>5</v>
      </c>
      <c r="BA70">
        <v>2</v>
      </c>
      <c r="BB70">
        <f t="shared" si="1"/>
        <v>2</v>
      </c>
    </row>
    <row r="71" spans="37:54" x14ac:dyDescent="0.2">
      <c r="AY71" t="s">
        <v>487</v>
      </c>
      <c r="AZ71">
        <v>5</v>
      </c>
      <c r="BA71">
        <v>2</v>
      </c>
      <c r="BB71">
        <f t="shared" si="1"/>
        <v>2</v>
      </c>
    </row>
    <row r="72" spans="37:54" x14ac:dyDescent="0.2">
      <c r="AY72" t="s">
        <v>488</v>
      </c>
      <c r="AZ72">
        <v>5</v>
      </c>
      <c r="BA72">
        <v>2</v>
      </c>
      <c r="BB72">
        <f t="shared" si="1"/>
        <v>2</v>
      </c>
    </row>
    <row r="73" spans="37:54" x14ac:dyDescent="0.2">
      <c r="AY73" t="s">
        <v>479</v>
      </c>
      <c r="AZ73">
        <v>6</v>
      </c>
      <c r="BA73">
        <v>2</v>
      </c>
      <c r="BB73">
        <f t="shared" si="1"/>
        <v>2</v>
      </c>
    </row>
    <row r="74" spans="37:54" x14ac:dyDescent="0.2">
      <c r="AY74" t="s">
        <v>480</v>
      </c>
      <c r="AZ74">
        <v>6</v>
      </c>
      <c r="BA74">
        <v>2</v>
      </c>
      <c r="BB74">
        <f t="shared" si="1"/>
        <v>2</v>
      </c>
    </row>
    <row r="75" spans="37:54" x14ac:dyDescent="0.2">
      <c r="AY75" t="s">
        <v>489</v>
      </c>
      <c r="AZ75">
        <v>6</v>
      </c>
      <c r="BA75">
        <v>3</v>
      </c>
      <c r="BB75">
        <f t="shared" si="1"/>
        <v>3</v>
      </c>
    </row>
    <row r="76" spans="37:54" x14ac:dyDescent="0.2">
      <c r="AY76" t="s">
        <v>490</v>
      </c>
      <c r="AZ76">
        <v>6</v>
      </c>
      <c r="BA76">
        <v>3</v>
      </c>
      <c r="BB76">
        <f t="shared" si="1"/>
        <v>3</v>
      </c>
    </row>
    <row r="77" spans="37:54" x14ac:dyDescent="0.2">
      <c r="AY77" t="s">
        <v>493</v>
      </c>
      <c r="AZ77">
        <v>8</v>
      </c>
      <c r="BA77">
        <v>5</v>
      </c>
      <c r="BB77">
        <f t="shared" si="1"/>
        <v>5</v>
      </c>
    </row>
    <row r="78" spans="37:54" x14ac:dyDescent="0.2">
      <c r="AY78" t="s">
        <v>494</v>
      </c>
      <c r="AZ78">
        <v>8</v>
      </c>
      <c r="BA78">
        <v>5</v>
      </c>
      <c r="BB78">
        <f t="shared" si="1"/>
        <v>5</v>
      </c>
    </row>
    <row r="79" spans="37:54" x14ac:dyDescent="0.2">
      <c r="AY79" t="s">
        <v>249</v>
      </c>
      <c r="AZ79">
        <v>4</v>
      </c>
      <c r="BA79">
        <v>0</v>
      </c>
      <c r="BB79">
        <f t="shared" si="1"/>
        <v>0</v>
      </c>
    </row>
    <row r="80" spans="37:54" x14ac:dyDescent="0.2">
      <c r="AY80" t="s">
        <v>252</v>
      </c>
      <c r="AZ80">
        <v>6</v>
      </c>
      <c r="BA80">
        <v>0</v>
      </c>
      <c r="BB80">
        <f t="shared" si="1"/>
        <v>0</v>
      </c>
    </row>
    <row r="81" spans="51:54" x14ac:dyDescent="0.2">
      <c r="AY81" t="s">
        <v>248</v>
      </c>
      <c r="AZ81">
        <v>4</v>
      </c>
      <c r="BA81">
        <v>0</v>
      </c>
      <c r="BB81">
        <f t="shared" si="1"/>
        <v>0</v>
      </c>
    </row>
    <row r="82" spans="51:54" x14ac:dyDescent="0.2">
      <c r="AY82" t="s">
        <v>253</v>
      </c>
      <c r="AZ82">
        <v>8</v>
      </c>
      <c r="BA82">
        <v>0</v>
      </c>
      <c r="BB82">
        <f t="shared" si="1"/>
        <v>0</v>
      </c>
    </row>
    <row r="83" spans="51:54" x14ac:dyDescent="0.2">
      <c r="AY83" t="s">
        <v>251</v>
      </c>
      <c r="AZ83">
        <v>4</v>
      </c>
      <c r="BA83">
        <v>0</v>
      </c>
      <c r="BB83">
        <f t="shared" si="1"/>
        <v>0</v>
      </c>
    </row>
    <row r="84" spans="51:54" x14ac:dyDescent="0.2">
      <c r="AY84" t="s">
        <v>250</v>
      </c>
      <c r="AZ84">
        <v>4</v>
      </c>
      <c r="BA84">
        <v>0</v>
      </c>
      <c r="BB84">
        <f t="shared" si="1"/>
        <v>0</v>
      </c>
    </row>
    <row r="85" spans="51:54" x14ac:dyDescent="0.2">
      <c r="AY85" t="s">
        <v>182</v>
      </c>
      <c r="AZ85">
        <v>3</v>
      </c>
      <c r="BA85">
        <v>0</v>
      </c>
      <c r="BB85">
        <f t="shared" si="1"/>
        <v>0</v>
      </c>
    </row>
    <row r="86" spans="51:54" x14ac:dyDescent="0.2">
      <c r="AY86" t="s">
        <v>185</v>
      </c>
      <c r="AZ86">
        <v>3</v>
      </c>
      <c r="BA86">
        <v>0</v>
      </c>
      <c r="BB86">
        <f t="shared" si="1"/>
        <v>0</v>
      </c>
    </row>
    <row r="87" spans="51:54" x14ac:dyDescent="0.2">
      <c r="AY87" t="s">
        <v>188</v>
      </c>
      <c r="AZ87">
        <v>4</v>
      </c>
      <c r="BA87">
        <v>0</v>
      </c>
      <c r="BB87">
        <f t="shared" si="1"/>
        <v>0</v>
      </c>
    </row>
    <row r="88" spans="51:54" x14ac:dyDescent="0.2">
      <c r="AY88" t="s">
        <v>191</v>
      </c>
      <c r="AZ88">
        <v>6</v>
      </c>
      <c r="BA88">
        <v>1</v>
      </c>
      <c r="BB88">
        <f t="shared" si="1"/>
        <v>1</v>
      </c>
    </row>
    <row r="89" spans="51:54" x14ac:dyDescent="0.2">
      <c r="AY89" t="s">
        <v>194</v>
      </c>
      <c r="AZ89">
        <v>4</v>
      </c>
      <c r="BA89">
        <v>2</v>
      </c>
      <c r="BB89">
        <f t="shared" si="1"/>
        <v>2</v>
      </c>
    </row>
    <row r="90" spans="51:54" x14ac:dyDescent="0.2">
      <c r="AY90" t="s">
        <v>197</v>
      </c>
      <c r="AZ90">
        <v>3</v>
      </c>
      <c r="BA90">
        <v>1</v>
      </c>
      <c r="BB90">
        <f t="shared" si="1"/>
        <v>1</v>
      </c>
    </row>
    <row r="91" spans="51:54" x14ac:dyDescent="0.2">
      <c r="AY91" t="s">
        <v>199</v>
      </c>
      <c r="AZ91">
        <v>4</v>
      </c>
      <c r="BA91">
        <v>1</v>
      </c>
      <c r="BB91">
        <f t="shared" si="1"/>
        <v>1</v>
      </c>
    </row>
    <row r="92" spans="51:54" x14ac:dyDescent="0.2">
      <c r="AY92" t="s">
        <v>201</v>
      </c>
      <c r="AZ92">
        <v>2</v>
      </c>
      <c r="BA92">
        <v>0</v>
      </c>
      <c r="BB92">
        <f t="shared" si="1"/>
        <v>0</v>
      </c>
    </row>
    <row r="93" spans="51:54" x14ac:dyDescent="0.2">
      <c r="AY93" t="s">
        <v>203</v>
      </c>
      <c r="AZ93">
        <v>3</v>
      </c>
      <c r="BA93">
        <v>0</v>
      </c>
      <c r="BB93">
        <f t="shared" si="1"/>
        <v>0</v>
      </c>
    </row>
    <row r="94" spans="51:54" x14ac:dyDescent="0.2">
      <c r="AY94" t="s">
        <v>205</v>
      </c>
      <c r="AZ94">
        <v>3</v>
      </c>
      <c r="BA94">
        <v>1</v>
      </c>
      <c r="BB94">
        <f t="shared" si="1"/>
        <v>1</v>
      </c>
    </row>
    <row r="95" spans="51:54" x14ac:dyDescent="0.2">
      <c r="AY95" t="s">
        <v>212</v>
      </c>
      <c r="AZ95">
        <v>3</v>
      </c>
      <c r="BA95">
        <v>0</v>
      </c>
      <c r="BB95">
        <f t="shared" si="1"/>
        <v>0</v>
      </c>
    </row>
    <row r="96" spans="51:54" x14ac:dyDescent="0.2">
      <c r="AY96" t="s">
        <v>213</v>
      </c>
      <c r="AZ96">
        <v>4</v>
      </c>
      <c r="BA96">
        <v>0</v>
      </c>
      <c r="BB96">
        <f t="shared" si="1"/>
        <v>0</v>
      </c>
    </row>
    <row r="97" spans="51:54" x14ac:dyDescent="0.2">
      <c r="AY97" t="s">
        <v>214</v>
      </c>
      <c r="AZ97">
        <v>6</v>
      </c>
      <c r="BA97">
        <v>0</v>
      </c>
      <c r="BB97">
        <f t="shared" si="1"/>
        <v>0</v>
      </c>
    </row>
    <row r="98" spans="51:54" x14ac:dyDescent="0.2">
      <c r="AY98" t="s">
        <v>215</v>
      </c>
      <c r="AZ98">
        <v>8</v>
      </c>
      <c r="BA98">
        <v>1</v>
      </c>
      <c r="BB98">
        <f t="shared" si="1"/>
        <v>1</v>
      </c>
    </row>
    <row r="99" spans="51:54" x14ac:dyDescent="0.2">
      <c r="AY99" t="s">
        <v>216</v>
      </c>
      <c r="AZ99">
        <v>7</v>
      </c>
      <c r="BA99">
        <v>2</v>
      </c>
      <c r="BB99">
        <f t="shared" si="1"/>
        <v>2</v>
      </c>
    </row>
    <row r="100" spans="51:54" x14ac:dyDescent="0.2">
      <c r="AY100" t="s">
        <v>217</v>
      </c>
      <c r="AZ100">
        <v>3</v>
      </c>
      <c r="BA100">
        <v>0</v>
      </c>
      <c r="BB100">
        <f t="shared" si="1"/>
        <v>0</v>
      </c>
    </row>
    <row r="101" spans="51:54" x14ac:dyDescent="0.2">
      <c r="AY101" t="s">
        <v>223</v>
      </c>
      <c r="AZ101">
        <v>3</v>
      </c>
      <c r="BA101">
        <v>1</v>
      </c>
      <c r="BB101">
        <f t="shared" si="1"/>
        <v>1</v>
      </c>
    </row>
    <row r="102" spans="51:54" x14ac:dyDescent="0.2">
      <c r="AY102" t="s">
        <v>224</v>
      </c>
      <c r="AZ102">
        <v>4</v>
      </c>
      <c r="BA102">
        <v>2</v>
      </c>
      <c r="BB102">
        <f t="shared" si="1"/>
        <v>2</v>
      </c>
    </row>
    <row r="103" spans="51:54" x14ac:dyDescent="0.2">
      <c r="AY103" t="s">
        <v>227</v>
      </c>
      <c r="AZ103">
        <v>2</v>
      </c>
      <c r="BA103">
        <v>0</v>
      </c>
      <c r="BB103">
        <f t="shared" si="1"/>
        <v>0</v>
      </c>
    </row>
    <row r="104" spans="51:54" x14ac:dyDescent="0.2">
      <c r="AY104" t="s">
        <v>228</v>
      </c>
      <c r="AZ104">
        <v>3</v>
      </c>
      <c r="BA104">
        <v>0</v>
      </c>
      <c r="BB104">
        <f t="shared" si="1"/>
        <v>0</v>
      </c>
    </row>
    <row r="105" spans="51:54" x14ac:dyDescent="0.2">
      <c r="AY105" t="s">
        <v>229</v>
      </c>
      <c r="AZ105">
        <v>3</v>
      </c>
      <c r="BA105">
        <v>0</v>
      </c>
      <c r="BB105">
        <f t="shared" si="1"/>
        <v>0</v>
      </c>
    </row>
    <row r="106" spans="51:54" x14ac:dyDescent="0.2">
      <c r="AY106" t="s">
        <v>230</v>
      </c>
      <c r="AZ106">
        <v>3</v>
      </c>
      <c r="BA106">
        <v>0</v>
      </c>
      <c r="BB106">
        <f t="shared" si="1"/>
        <v>0</v>
      </c>
    </row>
    <row r="107" spans="51:54" x14ac:dyDescent="0.2">
      <c r="AY107" t="s">
        <v>231</v>
      </c>
      <c r="AZ107">
        <v>3</v>
      </c>
      <c r="BA107">
        <v>0</v>
      </c>
      <c r="BB107">
        <f t="shared" si="1"/>
        <v>0</v>
      </c>
    </row>
    <row r="108" spans="51:54" x14ac:dyDescent="0.2">
      <c r="AY108" t="s">
        <v>215</v>
      </c>
      <c r="AZ108">
        <v>8</v>
      </c>
      <c r="BA108">
        <v>1</v>
      </c>
      <c r="BB108">
        <f t="shared" si="1"/>
        <v>1</v>
      </c>
    </row>
    <row r="109" spans="51:54" x14ac:dyDescent="0.2">
      <c r="AY109" t="s">
        <v>191</v>
      </c>
      <c r="AZ109">
        <v>6</v>
      </c>
      <c r="BA109">
        <v>1</v>
      </c>
      <c r="BB109">
        <f t="shared" si="1"/>
        <v>1</v>
      </c>
    </row>
    <row r="110" spans="51:54" x14ac:dyDescent="0.2">
      <c r="AY110" t="s">
        <v>216</v>
      </c>
      <c r="AZ110">
        <v>7</v>
      </c>
      <c r="BA110">
        <v>2</v>
      </c>
      <c r="BB110">
        <f t="shared" si="1"/>
        <v>2</v>
      </c>
    </row>
    <row r="111" spans="51:54" x14ac:dyDescent="0.2">
      <c r="AY111" t="s">
        <v>205</v>
      </c>
      <c r="AZ111">
        <v>3</v>
      </c>
      <c r="BA111">
        <v>1</v>
      </c>
      <c r="BB111">
        <f t="shared" si="1"/>
        <v>1</v>
      </c>
    </row>
    <row r="112" spans="51:54" x14ac:dyDescent="0.2">
      <c r="AY112" t="s">
        <v>197</v>
      </c>
      <c r="AZ112">
        <v>3</v>
      </c>
      <c r="BA112">
        <v>1</v>
      </c>
      <c r="BB112">
        <f t="shared" si="1"/>
        <v>1</v>
      </c>
    </row>
    <row r="113" spans="51:54" x14ac:dyDescent="0.2">
      <c r="AY113" t="s">
        <v>223</v>
      </c>
      <c r="AZ113">
        <v>3</v>
      </c>
      <c r="BA113">
        <v>1</v>
      </c>
      <c r="BB113">
        <f t="shared" si="1"/>
        <v>1</v>
      </c>
    </row>
    <row r="114" spans="51:54" x14ac:dyDescent="0.2">
      <c r="AY114" t="s">
        <v>194</v>
      </c>
      <c r="AZ114">
        <v>4</v>
      </c>
      <c r="BA114">
        <v>2</v>
      </c>
      <c r="BB114">
        <f t="shared" si="1"/>
        <v>2</v>
      </c>
    </row>
    <row r="115" spans="51:54" x14ac:dyDescent="0.2">
      <c r="AY115" t="s">
        <v>220</v>
      </c>
      <c r="AZ115">
        <v>4</v>
      </c>
      <c r="BA115">
        <v>2</v>
      </c>
      <c r="BB115">
        <f t="shared" si="1"/>
        <v>2</v>
      </c>
    </row>
    <row r="116" spans="51:54" x14ac:dyDescent="0.2">
      <c r="AY116" t="s">
        <v>218</v>
      </c>
      <c r="AZ116">
        <v>2</v>
      </c>
      <c r="BA116">
        <v>1</v>
      </c>
      <c r="BB116">
        <f t="shared" si="1"/>
        <v>1</v>
      </c>
    </row>
    <row r="117" spans="51:54" x14ac:dyDescent="0.2">
      <c r="AY117" t="s">
        <v>234</v>
      </c>
      <c r="AZ117">
        <v>2</v>
      </c>
      <c r="BA117">
        <v>1</v>
      </c>
      <c r="BB117">
        <f t="shared" si="1"/>
        <v>1</v>
      </c>
    </row>
    <row r="118" spans="51:54" x14ac:dyDescent="0.2">
      <c r="AY118" t="s">
        <v>232</v>
      </c>
      <c r="AZ118">
        <v>2</v>
      </c>
      <c r="BA118">
        <v>1</v>
      </c>
      <c r="BB118">
        <f t="shared" si="1"/>
        <v>1</v>
      </c>
    </row>
    <row r="119" spans="51:54" x14ac:dyDescent="0.2">
      <c r="AY119" t="s">
        <v>235</v>
      </c>
      <c r="AZ119">
        <v>3</v>
      </c>
      <c r="BA119">
        <v>2</v>
      </c>
      <c r="BB119">
        <f t="shared" si="1"/>
        <v>2</v>
      </c>
    </row>
    <row r="120" spans="51:54" x14ac:dyDescent="0.2">
      <c r="AY120" t="s">
        <v>233</v>
      </c>
      <c r="AZ120">
        <v>3</v>
      </c>
      <c r="BA120">
        <v>2</v>
      </c>
      <c r="BB120">
        <f t="shared" si="1"/>
        <v>2</v>
      </c>
    </row>
  </sheetData>
  <sortState xmlns:xlrd2="http://schemas.microsoft.com/office/spreadsheetml/2017/richdata2" ref="P2:P5">
    <sortCondition ref="P2:P5"/>
  </sortState>
  <conditionalFormatting sqref="AK33:AK65">
    <cfRule type="duplicateValues" dxfId="5" priority="4"/>
  </conditionalFormatting>
  <conditionalFormatting sqref="AM2:AM14">
    <cfRule type="duplicateValues" dxfId="4" priority="6"/>
  </conditionalFormatting>
  <conditionalFormatting sqref="AL2:AL24">
    <cfRule type="duplicateValues" dxfId="3" priority="2"/>
  </conditionalFormatting>
  <conditionalFormatting sqref="AK2:AK32">
    <cfRule type="duplicateValues" dxfId="2"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13"/>
  <sheetViews>
    <sheetView topLeftCell="C1" workbookViewId="0">
      <selection activeCell="J1" sqref="J1:R1048576"/>
    </sheetView>
  </sheetViews>
  <sheetFormatPr defaultRowHeight="15" x14ac:dyDescent="0.2"/>
  <cols>
    <col min="1" max="1" width="12.6640625" bestFit="1" customWidth="1"/>
    <col min="4" max="4" width="28.77734375" customWidth="1"/>
    <col min="9" max="9" width="26.44140625" bestFit="1" customWidth="1"/>
    <col min="10" max="10" width="37.33203125" bestFit="1" customWidth="1"/>
    <col min="11" max="11" width="43.6640625" bestFit="1" customWidth="1"/>
    <col min="12" max="12" width="42.44140625" bestFit="1" customWidth="1"/>
    <col min="13" max="13" width="45" bestFit="1" customWidth="1"/>
    <col min="14" max="14" width="45.6640625" bestFit="1" customWidth="1"/>
    <col min="15" max="15" width="46" bestFit="1" customWidth="1"/>
    <col min="16" max="16" width="45.77734375" bestFit="1" customWidth="1"/>
    <col min="17" max="17" width="40.109375" bestFit="1" customWidth="1"/>
  </cols>
  <sheetData>
    <row r="1" spans="1:17" x14ac:dyDescent="0.2">
      <c r="A1" t="s">
        <v>7</v>
      </c>
      <c r="B1" t="s">
        <v>62</v>
      </c>
      <c r="D1" s="26" t="s">
        <v>61</v>
      </c>
      <c r="F1" t="s">
        <v>73</v>
      </c>
      <c r="I1" s="26" t="s">
        <v>306</v>
      </c>
      <c r="J1" s="26" t="s">
        <v>307</v>
      </c>
      <c r="K1" s="26" t="s">
        <v>298</v>
      </c>
      <c r="L1" s="26" t="s">
        <v>299</v>
      </c>
      <c r="M1" s="26" t="s">
        <v>300</v>
      </c>
      <c r="N1" s="26" t="s">
        <v>301</v>
      </c>
      <c r="O1" s="26" t="s">
        <v>302</v>
      </c>
      <c r="P1" s="26" t="s">
        <v>303</v>
      </c>
      <c r="Q1" s="26" t="s">
        <v>304</v>
      </c>
    </row>
    <row r="2" spans="1:17" x14ac:dyDescent="0.2">
      <c r="A2" t="s">
        <v>72</v>
      </c>
      <c r="B2">
        <v>1</v>
      </c>
      <c r="D2" s="26" t="s">
        <v>306</v>
      </c>
      <c r="F2" t="s">
        <v>26</v>
      </c>
      <c r="I2" t="s">
        <v>70</v>
      </c>
      <c r="J2" t="s">
        <v>72</v>
      </c>
      <c r="K2" t="s">
        <v>72</v>
      </c>
      <c r="L2" t="s">
        <v>72</v>
      </c>
      <c r="M2" t="s">
        <v>72</v>
      </c>
      <c r="N2" t="s">
        <v>72</v>
      </c>
      <c r="O2" t="s">
        <v>72</v>
      </c>
      <c r="P2" t="s">
        <v>72</v>
      </c>
      <c r="Q2" s="26" t="s">
        <v>297</v>
      </c>
    </row>
    <row r="3" spans="1:17" x14ac:dyDescent="0.2">
      <c r="A3" t="s">
        <v>71</v>
      </c>
      <c r="B3">
        <v>2</v>
      </c>
      <c r="D3" s="26" t="s">
        <v>70</v>
      </c>
      <c r="F3">
        <v>1</v>
      </c>
      <c r="I3" t="s">
        <v>68</v>
      </c>
      <c r="J3" t="s">
        <v>71</v>
      </c>
      <c r="K3" t="s">
        <v>71</v>
      </c>
      <c r="L3" t="s">
        <v>71</v>
      </c>
      <c r="M3" t="s">
        <v>71</v>
      </c>
      <c r="N3" t="s">
        <v>71</v>
      </c>
      <c r="O3" t="s">
        <v>71</v>
      </c>
      <c r="P3" t="s">
        <v>71</v>
      </c>
    </row>
    <row r="4" spans="1:17" x14ac:dyDescent="0.2">
      <c r="A4" t="s">
        <v>69</v>
      </c>
      <c r="B4">
        <v>3</v>
      </c>
      <c r="D4" s="26" t="s">
        <v>68</v>
      </c>
      <c r="F4">
        <v>2</v>
      </c>
      <c r="I4" t="s">
        <v>66</v>
      </c>
      <c r="J4" t="s">
        <v>69</v>
      </c>
      <c r="K4" t="s">
        <v>69</v>
      </c>
      <c r="L4" t="s">
        <v>69</v>
      </c>
      <c r="M4" t="s">
        <v>69</v>
      </c>
      <c r="N4" t="s">
        <v>69</v>
      </c>
      <c r="O4" t="s">
        <v>69</v>
      </c>
      <c r="P4" t="s">
        <v>69</v>
      </c>
    </row>
    <row r="5" spans="1:17" x14ac:dyDescent="0.2">
      <c r="A5" t="s">
        <v>67</v>
      </c>
      <c r="B5">
        <v>4</v>
      </c>
      <c r="D5" s="26" t="s">
        <v>66</v>
      </c>
      <c r="F5">
        <v>3</v>
      </c>
      <c r="I5" t="s">
        <v>65</v>
      </c>
      <c r="J5" t="s">
        <v>67</v>
      </c>
      <c r="K5" t="s">
        <v>67</v>
      </c>
      <c r="L5" t="s">
        <v>67</v>
      </c>
      <c r="M5" t="s">
        <v>67</v>
      </c>
      <c r="N5" t="s">
        <v>67</v>
      </c>
      <c r="O5" t="s">
        <v>67</v>
      </c>
      <c r="P5" t="s">
        <v>67</v>
      </c>
    </row>
    <row r="6" spans="1:17" x14ac:dyDescent="0.2">
      <c r="B6">
        <v>5</v>
      </c>
      <c r="D6" s="26" t="s">
        <v>65</v>
      </c>
      <c r="F6">
        <v>4</v>
      </c>
      <c r="I6" t="s">
        <v>64</v>
      </c>
    </row>
    <row r="7" spans="1:17" x14ac:dyDescent="0.2">
      <c r="B7">
        <v>6</v>
      </c>
      <c r="D7" s="26" t="s">
        <v>64</v>
      </c>
      <c r="F7">
        <v>5</v>
      </c>
      <c r="I7" t="s">
        <v>63</v>
      </c>
    </row>
    <row r="8" spans="1:17" x14ac:dyDescent="0.2">
      <c r="B8">
        <v>7</v>
      </c>
      <c r="D8" s="26" t="s">
        <v>63</v>
      </c>
      <c r="F8">
        <v>6</v>
      </c>
      <c r="I8" s="26" t="s">
        <v>305</v>
      </c>
    </row>
    <row r="9" spans="1:17" x14ac:dyDescent="0.2">
      <c r="B9">
        <v>8</v>
      </c>
      <c r="D9" s="26" t="s">
        <v>305</v>
      </c>
      <c r="F9">
        <v>7</v>
      </c>
    </row>
    <row r="10" spans="1:17" x14ac:dyDescent="0.2">
      <c r="B10">
        <v>9</v>
      </c>
      <c r="F10">
        <v>8</v>
      </c>
    </row>
    <row r="11" spans="1:17" x14ac:dyDescent="0.2">
      <c r="B11">
        <v>10</v>
      </c>
      <c r="F11">
        <v>9</v>
      </c>
    </row>
    <row r="12" spans="1:17" x14ac:dyDescent="0.2">
      <c r="F12">
        <v>10</v>
      </c>
    </row>
    <row r="13" spans="1:17" x14ac:dyDescent="0.2">
      <c r="F13">
        <v>11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C66"/>
  <sheetViews>
    <sheetView topLeftCell="A4" workbookViewId="0">
      <selection activeCell="B1" sqref="B1:M1"/>
    </sheetView>
  </sheetViews>
  <sheetFormatPr defaultRowHeight="15" x14ac:dyDescent="0.25"/>
  <cols>
    <col min="1" max="1" width="52.88671875" style="36" customWidth="1"/>
    <col min="2" max="5" width="6.21875" style="36" customWidth="1"/>
    <col min="6" max="6" width="6.33203125" style="36" customWidth="1"/>
    <col min="7" max="12" width="6.21875" style="36" customWidth="1"/>
    <col min="13" max="13" width="5.88671875" style="35" customWidth="1"/>
    <col min="14" max="14" width="8.88671875" style="33"/>
    <col min="15" max="15" width="10.77734375" style="34" bestFit="1" customWidth="1"/>
    <col min="16" max="16" width="18.109375" style="33" customWidth="1"/>
    <col min="17" max="17" width="6.21875" style="33" customWidth="1"/>
    <col min="18" max="18" width="7" style="33" customWidth="1"/>
    <col min="19" max="19" width="51.44140625" style="33" customWidth="1"/>
    <col min="20" max="20" width="4.44140625" style="33" customWidth="1"/>
    <col min="21" max="23" width="8.88671875" style="33"/>
    <col min="24" max="24" width="51.33203125" style="33" bestFit="1" customWidth="1"/>
    <col min="25" max="29" width="10.5546875" style="33" customWidth="1"/>
    <col min="30" max="16384" width="8.88671875" style="33"/>
  </cols>
  <sheetData>
    <row r="1" spans="1:29" x14ac:dyDescent="0.25">
      <c r="B1" s="75" t="s">
        <v>122</v>
      </c>
      <c r="C1" s="75" t="s">
        <v>121</v>
      </c>
      <c r="D1" s="75" t="s">
        <v>120</v>
      </c>
      <c r="E1" s="75" t="s">
        <v>119</v>
      </c>
      <c r="F1" s="75" t="s">
        <v>118</v>
      </c>
      <c r="G1" s="75" t="s">
        <v>117</v>
      </c>
      <c r="H1" s="75" t="s">
        <v>116</v>
      </c>
      <c r="I1" s="75" t="s">
        <v>115</v>
      </c>
      <c r="J1" s="75" t="s">
        <v>114</v>
      </c>
      <c r="K1" s="75" t="s">
        <v>113</v>
      </c>
      <c r="L1" s="75" t="s">
        <v>112</v>
      </c>
      <c r="M1" s="74" t="s">
        <v>111</v>
      </c>
    </row>
    <row r="2" spans="1:29" ht="21" customHeight="1" x14ac:dyDescent="0.25">
      <c r="A2" s="73" t="s">
        <v>110</v>
      </c>
      <c r="B2" s="72">
        <f>'Aluminium Screen'!D10</f>
        <v>0</v>
      </c>
      <c r="C2" s="72">
        <f>'Aluminium Screen'!D11</f>
        <v>0</v>
      </c>
      <c r="D2" s="72">
        <f>'Aluminium Screen'!D12</f>
        <v>0</v>
      </c>
      <c r="E2" s="72">
        <f>'Aluminium Screen'!D13</f>
        <v>0</v>
      </c>
      <c r="F2" s="72">
        <f>'Aluminium Screen'!D14</f>
        <v>0</v>
      </c>
      <c r="G2" s="72">
        <f>'Aluminium Screen'!D15</f>
        <v>0</v>
      </c>
      <c r="H2" s="72">
        <f>'Aluminium Screen'!D16</f>
        <v>0</v>
      </c>
      <c r="I2" s="72">
        <f>'Aluminium Screen'!D17</f>
        <v>0</v>
      </c>
      <c r="J2" s="72">
        <f>'Aluminium Screen'!D18</f>
        <v>0</v>
      </c>
      <c r="K2" s="72">
        <f>'Aluminium Screen'!D19</f>
        <v>0</v>
      </c>
      <c r="L2" s="72">
        <f>'Aluminium Screen'!D20</f>
        <v>0</v>
      </c>
      <c r="M2" s="71" t="s">
        <v>74</v>
      </c>
      <c r="O2" s="70" t="s">
        <v>109</v>
      </c>
      <c r="P2" s="69" t="s">
        <v>102</v>
      </c>
      <c r="S2" s="475" t="s">
        <v>108</v>
      </c>
      <c r="T2" s="476"/>
      <c r="X2" s="62" t="s">
        <v>107</v>
      </c>
      <c r="Y2" s="62" t="s">
        <v>62</v>
      </c>
      <c r="Z2" s="49" t="s">
        <v>106</v>
      </c>
      <c r="AA2" s="49" t="s">
        <v>105</v>
      </c>
      <c r="AB2" s="49" t="s">
        <v>104</v>
      </c>
      <c r="AC2" s="49" t="s">
        <v>103</v>
      </c>
    </row>
    <row r="3" spans="1:29" ht="21" customHeight="1" x14ac:dyDescent="0.25">
      <c r="A3" s="68" t="s">
        <v>102</v>
      </c>
      <c r="B3" s="67" t="e">
        <f t="shared" ref="B3:L3" si="0">VLOOKUP(B2,$P$3:$P$31,1,TRUE)</f>
        <v>#N/A</v>
      </c>
      <c r="C3" s="67" t="e">
        <f t="shared" si="0"/>
        <v>#N/A</v>
      </c>
      <c r="D3" s="67" t="e">
        <f t="shared" si="0"/>
        <v>#N/A</v>
      </c>
      <c r="E3" s="67" t="e">
        <f t="shared" si="0"/>
        <v>#N/A</v>
      </c>
      <c r="F3" s="67" t="e">
        <f t="shared" si="0"/>
        <v>#N/A</v>
      </c>
      <c r="G3" s="67" t="e">
        <f t="shared" si="0"/>
        <v>#N/A</v>
      </c>
      <c r="H3" s="67" t="e">
        <f t="shared" si="0"/>
        <v>#N/A</v>
      </c>
      <c r="I3" s="67" t="e">
        <f t="shared" si="0"/>
        <v>#N/A</v>
      </c>
      <c r="J3" s="67" t="e">
        <f t="shared" si="0"/>
        <v>#N/A</v>
      </c>
      <c r="K3" s="67" t="e">
        <f t="shared" si="0"/>
        <v>#N/A</v>
      </c>
      <c r="L3" s="67" t="e">
        <f t="shared" si="0"/>
        <v>#N/A</v>
      </c>
      <c r="M3" s="67" t="s">
        <v>74</v>
      </c>
      <c r="O3" s="37">
        <v>3</v>
      </c>
      <c r="P3" s="42">
        <f t="shared" ref="P3:P31" si="1">(O3*$T$3)+((O3-1)*($T$4))+$T$10</f>
        <v>321</v>
      </c>
      <c r="Q3" s="37">
        <v>3</v>
      </c>
      <c r="S3" s="64" t="s">
        <v>101</v>
      </c>
      <c r="T3" s="62">
        <v>67</v>
      </c>
      <c r="X3" s="58" t="s">
        <v>100</v>
      </c>
      <c r="Y3" s="57" t="e">
        <f>B4</f>
        <v>#N/A</v>
      </c>
      <c r="Z3" s="56">
        <f>T3</f>
        <v>67</v>
      </c>
      <c r="AA3" s="56" t="e">
        <f t="shared" ref="AA3:AA10" si="2">Y3*Z3</f>
        <v>#N/A</v>
      </c>
      <c r="AB3" s="55"/>
      <c r="AC3" s="55"/>
    </row>
    <row r="4" spans="1:29" ht="21" customHeight="1" x14ac:dyDescent="0.25">
      <c r="A4" s="68" t="s">
        <v>100</v>
      </c>
      <c r="B4" s="67" t="e">
        <f t="shared" ref="B4:L4" si="3">VLOOKUP(B3,$P$3:$Q$31,2,TRUE)</f>
        <v>#N/A</v>
      </c>
      <c r="C4" s="67" t="e">
        <f t="shared" si="3"/>
        <v>#N/A</v>
      </c>
      <c r="D4" s="67" t="e">
        <f t="shared" si="3"/>
        <v>#N/A</v>
      </c>
      <c r="E4" s="67" t="e">
        <f t="shared" si="3"/>
        <v>#N/A</v>
      </c>
      <c r="F4" s="67" t="e">
        <f t="shared" si="3"/>
        <v>#N/A</v>
      </c>
      <c r="G4" s="67" t="e">
        <f t="shared" si="3"/>
        <v>#N/A</v>
      </c>
      <c r="H4" s="67" t="e">
        <f t="shared" si="3"/>
        <v>#N/A</v>
      </c>
      <c r="I4" s="67" t="e">
        <f t="shared" si="3"/>
        <v>#N/A</v>
      </c>
      <c r="J4" s="67" t="e">
        <f t="shared" si="3"/>
        <v>#N/A</v>
      </c>
      <c r="K4" s="67" t="e">
        <f t="shared" si="3"/>
        <v>#N/A</v>
      </c>
      <c r="L4" s="67" t="e">
        <f t="shared" si="3"/>
        <v>#N/A</v>
      </c>
      <c r="M4" s="67" t="s">
        <v>99</v>
      </c>
      <c r="O4" s="37">
        <v>4</v>
      </c>
      <c r="P4" s="42">
        <f t="shared" si="1"/>
        <v>406</v>
      </c>
      <c r="Q4" s="37">
        <v>4</v>
      </c>
      <c r="S4" s="64" t="s">
        <v>98</v>
      </c>
      <c r="T4" s="62">
        <v>18</v>
      </c>
      <c r="X4" s="58" t="s">
        <v>98</v>
      </c>
      <c r="Y4" s="66" t="e">
        <f>Y3-1</f>
        <v>#N/A</v>
      </c>
      <c r="Z4" s="56">
        <f>T4</f>
        <v>18</v>
      </c>
      <c r="AA4" s="56" t="e">
        <f t="shared" si="2"/>
        <v>#N/A</v>
      </c>
      <c r="AB4" s="55"/>
      <c r="AC4" s="55"/>
    </row>
    <row r="5" spans="1:29" ht="21" customHeight="1" x14ac:dyDescent="0.25">
      <c r="M5" s="65"/>
      <c r="O5" s="37">
        <v>5</v>
      </c>
      <c r="P5" s="42">
        <f t="shared" si="1"/>
        <v>491</v>
      </c>
      <c r="Q5" s="37">
        <v>5</v>
      </c>
      <c r="S5" s="64" t="s">
        <v>97</v>
      </c>
      <c r="T5" s="62">
        <f>SUM(T3:T4)</f>
        <v>85</v>
      </c>
      <c r="X5" s="58" t="s">
        <v>95</v>
      </c>
      <c r="Y5" s="57">
        <v>1</v>
      </c>
      <c r="Z5" s="56">
        <f>T6</f>
        <v>30</v>
      </c>
      <c r="AA5" s="56">
        <f t="shared" si="2"/>
        <v>30</v>
      </c>
      <c r="AB5" s="55"/>
      <c r="AC5" s="55"/>
    </row>
    <row r="6" spans="1:29" ht="21" customHeight="1" x14ac:dyDescent="0.25">
      <c r="A6" s="46" t="s">
        <v>96</v>
      </c>
      <c r="B6" s="63">
        <v>0.5</v>
      </c>
      <c r="C6" s="63">
        <v>0.5</v>
      </c>
      <c r="D6" s="63">
        <v>0.5</v>
      </c>
      <c r="E6" s="63">
        <v>0.5</v>
      </c>
      <c r="F6" s="63">
        <v>0.5</v>
      </c>
      <c r="G6" s="63">
        <v>0.5</v>
      </c>
      <c r="H6" s="63">
        <v>0.5</v>
      </c>
      <c r="I6" s="63">
        <v>0.5</v>
      </c>
      <c r="J6" s="63">
        <v>0.5</v>
      </c>
      <c r="K6" s="63">
        <v>0.5</v>
      </c>
      <c r="L6" s="63">
        <v>0.5</v>
      </c>
      <c r="M6" s="44" t="s">
        <v>93</v>
      </c>
      <c r="O6" s="37">
        <v>6</v>
      </c>
      <c r="P6" s="42">
        <f t="shared" si="1"/>
        <v>576</v>
      </c>
      <c r="Q6" s="37">
        <v>6</v>
      </c>
      <c r="S6" s="62" t="s">
        <v>95</v>
      </c>
      <c r="T6" s="62">
        <v>30</v>
      </c>
      <c r="X6" s="58" t="s">
        <v>92</v>
      </c>
      <c r="Y6" s="57">
        <v>1</v>
      </c>
      <c r="Z6" s="56">
        <f>T7</f>
        <v>30</v>
      </c>
      <c r="AA6" s="56">
        <f t="shared" si="2"/>
        <v>30</v>
      </c>
      <c r="AB6" s="55"/>
      <c r="AC6" s="55"/>
    </row>
    <row r="7" spans="1:29" ht="21" customHeight="1" x14ac:dyDescent="0.25">
      <c r="A7" s="46" t="s">
        <v>94</v>
      </c>
      <c r="B7" s="63">
        <v>0.5</v>
      </c>
      <c r="C7" s="63">
        <v>0.5</v>
      </c>
      <c r="D7" s="63">
        <v>0.5</v>
      </c>
      <c r="E7" s="63">
        <v>0.5</v>
      </c>
      <c r="F7" s="63">
        <v>0.5</v>
      </c>
      <c r="G7" s="63">
        <v>0.5</v>
      </c>
      <c r="H7" s="63">
        <v>0.5</v>
      </c>
      <c r="I7" s="63">
        <v>0.5</v>
      </c>
      <c r="J7" s="63">
        <v>0.5</v>
      </c>
      <c r="K7" s="63">
        <v>0.5</v>
      </c>
      <c r="L7" s="63">
        <v>0.5</v>
      </c>
      <c r="M7" s="44" t="s">
        <v>93</v>
      </c>
      <c r="O7" s="37">
        <v>7</v>
      </c>
      <c r="P7" s="42">
        <f t="shared" si="1"/>
        <v>661</v>
      </c>
      <c r="Q7" s="37">
        <v>7</v>
      </c>
      <c r="S7" s="62" t="s">
        <v>92</v>
      </c>
      <c r="T7" s="62">
        <v>30</v>
      </c>
      <c r="X7" s="58" t="s">
        <v>91</v>
      </c>
      <c r="Y7" s="57">
        <v>1</v>
      </c>
      <c r="Z7" s="56">
        <f>T8</f>
        <v>12</v>
      </c>
      <c r="AA7" s="56">
        <f t="shared" si="2"/>
        <v>12</v>
      </c>
      <c r="AB7" s="55"/>
      <c r="AC7" s="55"/>
    </row>
    <row r="8" spans="1:29" ht="21" customHeight="1" x14ac:dyDescent="0.25">
      <c r="A8" s="46" t="s">
        <v>90</v>
      </c>
      <c r="B8" s="45" t="e">
        <f t="shared" ref="B8:L8" si="4">B2-B3</f>
        <v>#N/A</v>
      </c>
      <c r="C8" s="45" t="e">
        <f t="shared" si="4"/>
        <v>#N/A</v>
      </c>
      <c r="D8" s="45" t="e">
        <f t="shared" si="4"/>
        <v>#N/A</v>
      </c>
      <c r="E8" s="45" t="e">
        <f t="shared" si="4"/>
        <v>#N/A</v>
      </c>
      <c r="F8" s="45" t="e">
        <f t="shared" si="4"/>
        <v>#N/A</v>
      </c>
      <c r="G8" s="45" t="e">
        <f t="shared" si="4"/>
        <v>#N/A</v>
      </c>
      <c r="H8" s="45" t="e">
        <f t="shared" si="4"/>
        <v>#N/A</v>
      </c>
      <c r="I8" s="45" t="e">
        <f t="shared" si="4"/>
        <v>#N/A</v>
      </c>
      <c r="J8" s="45" t="e">
        <f t="shared" si="4"/>
        <v>#N/A</v>
      </c>
      <c r="K8" s="45" t="e">
        <f t="shared" si="4"/>
        <v>#N/A</v>
      </c>
      <c r="L8" s="45" t="e">
        <f t="shared" si="4"/>
        <v>#N/A</v>
      </c>
      <c r="M8" s="44" t="s">
        <v>74</v>
      </c>
      <c r="O8" s="37">
        <v>8</v>
      </c>
      <c r="P8" s="42">
        <f t="shared" si="1"/>
        <v>746</v>
      </c>
      <c r="Q8" s="37">
        <v>8</v>
      </c>
      <c r="S8" s="49" t="s">
        <v>89</v>
      </c>
      <c r="T8" s="49">
        <v>12</v>
      </c>
      <c r="X8" s="58" t="s">
        <v>88</v>
      </c>
      <c r="Y8" s="57">
        <v>1</v>
      </c>
      <c r="Z8" s="56">
        <f>T9</f>
        <v>12</v>
      </c>
      <c r="AA8" s="56">
        <f t="shared" si="2"/>
        <v>12</v>
      </c>
      <c r="AB8" s="55"/>
      <c r="AC8" s="55"/>
    </row>
    <row r="9" spans="1:29" ht="21" customHeight="1" x14ac:dyDescent="0.25">
      <c r="A9" s="46" t="s">
        <v>87</v>
      </c>
      <c r="B9" s="60" t="e">
        <f t="shared" ref="B9:L9" si="5">ROUNDDOWN(B7*B8,0)</f>
        <v>#N/A</v>
      </c>
      <c r="C9" s="60" t="e">
        <f t="shared" si="5"/>
        <v>#N/A</v>
      </c>
      <c r="D9" s="60" t="e">
        <f t="shared" si="5"/>
        <v>#N/A</v>
      </c>
      <c r="E9" s="60" t="e">
        <f t="shared" si="5"/>
        <v>#N/A</v>
      </c>
      <c r="F9" s="60" t="e">
        <f t="shared" si="5"/>
        <v>#N/A</v>
      </c>
      <c r="G9" s="60" t="e">
        <f t="shared" si="5"/>
        <v>#N/A</v>
      </c>
      <c r="H9" s="60" t="e">
        <f t="shared" si="5"/>
        <v>#N/A</v>
      </c>
      <c r="I9" s="60" t="e">
        <f t="shared" si="5"/>
        <v>#N/A</v>
      </c>
      <c r="J9" s="60" t="e">
        <f t="shared" si="5"/>
        <v>#N/A</v>
      </c>
      <c r="K9" s="60" t="e">
        <f t="shared" si="5"/>
        <v>#N/A</v>
      </c>
      <c r="L9" s="60" t="e">
        <f t="shared" si="5"/>
        <v>#N/A</v>
      </c>
      <c r="M9" s="44" t="s">
        <v>74</v>
      </c>
      <c r="O9" s="37">
        <v>9</v>
      </c>
      <c r="P9" s="42">
        <f t="shared" si="1"/>
        <v>831</v>
      </c>
      <c r="Q9" s="37">
        <v>9</v>
      </c>
      <c r="S9" s="49" t="s">
        <v>86</v>
      </c>
      <c r="T9" s="49">
        <v>12</v>
      </c>
      <c r="X9" s="58" t="s">
        <v>85</v>
      </c>
      <c r="Y9" s="61">
        <v>1</v>
      </c>
      <c r="Z9" s="56" t="e">
        <f>B9</f>
        <v>#N/A</v>
      </c>
      <c r="AA9" s="56" t="e">
        <f t="shared" si="2"/>
        <v>#N/A</v>
      </c>
      <c r="AB9" s="55"/>
      <c r="AC9" s="55"/>
    </row>
    <row r="10" spans="1:29" ht="21" customHeight="1" x14ac:dyDescent="0.25">
      <c r="A10" s="46" t="s">
        <v>84</v>
      </c>
      <c r="B10" s="60" t="e">
        <f t="shared" ref="B10:L10" si="6">B8-B9</f>
        <v>#N/A</v>
      </c>
      <c r="C10" s="60" t="e">
        <f t="shared" si="6"/>
        <v>#N/A</v>
      </c>
      <c r="D10" s="60" t="e">
        <f t="shared" si="6"/>
        <v>#N/A</v>
      </c>
      <c r="E10" s="60" t="e">
        <f t="shared" si="6"/>
        <v>#N/A</v>
      </c>
      <c r="F10" s="60" t="e">
        <f t="shared" si="6"/>
        <v>#N/A</v>
      </c>
      <c r="G10" s="60" t="e">
        <f t="shared" si="6"/>
        <v>#N/A</v>
      </c>
      <c r="H10" s="60" t="e">
        <f t="shared" si="6"/>
        <v>#N/A</v>
      </c>
      <c r="I10" s="60" t="e">
        <f t="shared" si="6"/>
        <v>#N/A</v>
      </c>
      <c r="J10" s="60" t="e">
        <f t="shared" si="6"/>
        <v>#N/A</v>
      </c>
      <c r="K10" s="60" t="e">
        <f t="shared" si="6"/>
        <v>#N/A</v>
      </c>
      <c r="L10" s="60" t="e">
        <f t="shared" si="6"/>
        <v>#N/A</v>
      </c>
      <c r="M10" s="44" t="s">
        <v>74</v>
      </c>
      <c r="O10" s="37">
        <v>10</v>
      </c>
      <c r="P10" s="42">
        <f t="shared" si="1"/>
        <v>916</v>
      </c>
      <c r="Q10" s="37">
        <v>10</v>
      </c>
      <c r="S10" s="59" t="s">
        <v>83</v>
      </c>
      <c r="T10" s="59">
        <f>SUM(T6:T9)</f>
        <v>84</v>
      </c>
      <c r="X10" s="58" t="s">
        <v>82</v>
      </c>
      <c r="Y10" s="57">
        <v>1</v>
      </c>
      <c r="Z10" s="56" t="e">
        <f>B10</f>
        <v>#N/A</v>
      </c>
      <c r="AA10" s="56" t="e">
        <f t="shared" si="2"/>
        <v>#N/A</v>
      </c>
      <c r="AB10" s="55"/>
      <c r="AC10" s="55"/>
    </row>
    <row r="11" spans="1:29" ht="21" customHeight="1" x14ac:dyDescent="0.25">
      <c r="A11" s="46" t="s">
        <v>81</v>
      </c>
      <c r="B11" s="45" t="e">
        <f t="shared" ref="B11:L11" si="7">B9+$T$11</f>
        <v>#N/A</v>
      </c>
      <c r="C11" s="45" t="e">
        <f t="shared" si="7"/>
        <v>#N/A</v>
      </c>
      <c r="D11" s="45" t="e">
        <f t="shared" si="7"/>
        <v>#N/A</v>
      </c>
      <c r="E11" s="45" t="e">
        <f t="shared" si="7"/>
        <v>#N/A</v>
      </c>
      <c r="F11" s="45" t="e">
        <f t="shared" si="7"/>
        <v>#N/A</v>
      </c>
      <c r="G11" s="45" t="e">
        <f t="shared" si="7"/>
        <v>#N/A</v>
      </c>
      <c r="H11" s="45" t="e">
        <f t="shared" si="7"/>
        <v>#N/A</v>
      </c>
      <c r="I11" s="45" t="e">
        <f t="shared" si="7"/>
        <v>#N/A</v>
      </c>
      <c r="J11" s="45" t="e">
        <f t="shared" si="7"/>
        <v>#N/A</v>
      </c>
      <c r="K11" s="45" t="e">
        <f t="shared" si="7"/>
        <v>#N/A</v>
      </c>
      <c r="L11" s="45" t="e">
        <f t="shared" si="7"/>
        <v>#N/A</v>
      </c>
      <c r="M11" s="44" t="s">
        <v>74</v>
      </c>
      <c r="O11" s="37">
        <v>11</v>
      </c>
      <c r="P11" s="42">
        <f t="shared" si="1"/>
        <v>1001</v>
      </c>
      <c r="Q11" s="37">
        <v>11</v>
      </c>
      <c r="S11" s="49" t="s">
        <v>80</v>
      </c>
      <c r="T11" s="49">
        <v>6</v>
      </c>
      <c r="X11" s="54" t="s">
        <v>79</v>
      </c>
      <c r="Y11" s="53"/>
      <c r="Z11" s="52"/>
      <c r="AA11" s="52" t="e">
        <f>SUM(AA3:AA10)</f>
        <v>#N/A</v>
      </c>
      <c r="AB11" s="51">
        <f>B2</f>
        <v>0</v>
      </c>
      <c r="AC11" s="50" t="e">
        <f>IF(AB11-AA11=0, "OK", "ERROR")</f>
        <v>#N/A</v>
      </c>
    </row>
    <row r="12" spans="1:29" ht="21" customHeight="1" x14ac:dyDescent="0.25">
      <c r="A12" s="46" t="s">
        <v>78</v>
      </c>
      <c r="B12" s="45" t="e">
        <f t="shared" ref="B12:L12" si="8">B10+$T$12</f>
        <v>#N/A</v>
      </c>
      <c r="C12" s="45" t="e">
        <f t="shared" si="8"/>
        <v>#N/A</v>
      </c>
      <c r="D12" s="45" t="e">
        <f t="shared" si="8"/>
        <v>#N/A</v>
      </c>
      <c r="E12" s="45" t="e">
        <f t="shared" si="8"/>
        <v>#N/A</v>
      </c>
      <c r="F12" s="45" t="e">
        <f t="shared" si="8"/>
        <v>#N/A</v>
      </c>
      <c r="G12" s="45" t="e">
        <f t="shared" si="8"/>
        <v>#N/A</v>
      </c>
      <c r="H12" s="45" t="e">
        <f t="shared" si="8"/>
        <v>#N/A</v>
      </c>
      <c r="I12" s="45" t="e">
        <f t="shared" si="8"/>
        <v>#N/A</v>
      </c>
      <c r="J12" s="45" t="e">
        <f t="shared" si="8"/>
        <v>#N/A</v>
      </c>
      <c r="K12" s="45" t="e">
        <f t="shared" si="8"/>
        <v>#N/A</v>
      </c>
      <c r="L12" s="45" t="e">
        <f t="shared" si="8"/>
        <v>#N/A</v>
      </c>
      <c r="M12" s="44" t="s">
        <v>74</v>
      </c>
      <c r="O12" s="37">
        <v>12</v>
      </c>
      <c r="P12" s="42">
        <f t="shared" si="1"/>
        <v>1086</v>
      </c>
      <c r="Q12" s="37">
        <v>12</v>
      </c>
      <c r="S12" s="49" t="s">
        <v>77</v>
      </c>
      <c r="T12" s="49">
        <v>6</v>
      </c>
    </row>
    <row r="13" spans="1:29" ht="21" customHeight="1" x14ac:dyDescent="0.25">
      <c r="A13" s="48"/>
      <c r="O13" s="37">
        <v>13</v>
      </c>
      <c r="P13" s="42">
        <f t="shared" si="1"/>
        <v>1171</v>
      </c>
      <c r="Q13" s="37">
        <v>13</v>
      </c>
    </row>
    <row r="14" spans="1:29" ht="21" customHeight="1" x14ac:dyDescent="0.25">
      <c r="A14" s="46" t="s">
        <v>76</v>
      </c>
      <c r="B14" s="47" t="e">
        <f t="shared" ref="B14:L14" si="9">B9+$T$9+$T$7</f>
        <v>#N/A</v>
      </c>
      <c r="C14" s="47" t="e">
        <f t="shared" si="9"/>
        <v>#N/A</v>
      </c>
      <c r="D14" s="47" t="e">
        <f t="shared" si="9"/>
        <v>#N/A</v>
      </c>
      <c r="E14" s="47" t="e">
        <f t="shared" si="9"/>
        <v>#N/A</v>
      </c>
      <c r="F14" s="47" t="e">
        <f t="shared" si="9"/>
        <v>#N/A</v>
      </c>
      <c r="G14" s="47" t="e">
        <f t="shared" si="9"/>
        <v>#N/A</v>
      </c>
      <c r="H14" s="47" t="e">
        <f t="shared" si="9"/>
        <v>#N/A</v>
      </c>
      <c r="I14" s="47" t="e">
        <f t="shared" si="9"/>
        <v>#N/A</v>
      </c>
      <c r="J14" s="47" t="e">
        <f t="shared" si="9"/>
        <v>#N/A</v>
      </c>
      <c r="K14" s="47" t="e">
        <f t="shared" si="9"/>
        <v>#N/A</v>
      </c>
      <c r="L14" s="47" t="e">
        <f t="shared" si="9"/>
        <v>#N/A</v>
      </c>
      <c r="M14" s="44" t="s">
        <v>74</v>
      </c>
      <c r="O14" s="37">
        <v>14</v>
      </c>
      <c r="P14" s="42">
        <f t="shared" si="1"/>
        <v>1256</v>
      </c>
      <c r="Q14" s="37">
        <v>14</v>
      </c>
    </row>
    <row r="15" spans="1:29" ht="21" customHeight="1" x14ac:dyDescent="0.25">
      <c r="A15" s="46" t="s">
        <v>75</v>
      </c>
      <c r="B15" s="45" t="e">
        <f t="shared" ref="B15:L15" si="10">B10+$T$8+$T$6</f>
        <v>#N/A</v>
      </c>
      <c r="C15" s="45" t="e">
        <f t="shared" si="10"/>
        <v>#N/A</v>
      </c>
      <c r="D15" s="45" t="e">
        <f t="shared" si="10"/>
        <v>#N/A</v>
      </c>
      <c r="E15" s="45" t="e">
        <f t="shared" si="10"/>
        <v>#N/A</v>
      </c>
      <c r="F15" s="45" t="e">
        <f t="shared" si="10"/>
        <v>#N/A</v>
      </c>
      <c r="G15" s="45" t="e">
        <f t="shared" si="10"/>
        <v>#N/A</v>
      </c>
      <c r="H15" s="45" t="e">
        <f t="shared" si="10"/>
        <v>#N/A</v>
      </c>
      <c r="I15" s="45" t="e">
        <f t="shared" si="10"/>
        <v>#N/A</v>
      </c>
      <c r="J15" s="45" t="e">
        <f t="shared" si="10"/>
        <v>#N/A</v>
      </c>
      <c r="K15" s="45" t="e">
        <f t="shared" si="10"/>
        <v>#N/A</v>
      </c>
      <c r="L15" s="45" t="e">
        <f t="shared" si="10"/>
        <v>#N/A</v>
      </c>
      <c r="M15" s="44" t="s">
        <v>74</v>
      </c>
      <c r="O15" s="37">
        <v>15</v>
      </c>
      <c r="P15" s="42">
        <f t="shared" si="1"/>
        <v>1341</v>
      </c>
      <c r="Q15" s="37">
        <v>15</v>
      </c>
    </row>
    <row r="16" spans="1:29" ht="21" customHeight="1" x14ac:dyDescent="0.25">
      <c r="O16" s="37">
        <v>16</v>
      </c>
      <c r="P16" s="42">
        <f t="shared" si="1"/>
        <v>1426</v>
      </c>
      <c r="Q16" s="37">
        <v>16</v>
      </c>
    </row>
    <row r="17" spans="2:17" s="33" customFormat="1" ht="21" customHeight="1" x14ac:dyDescent="0.25">
      <c r="B17" s="36"/>
      <c r="C17" s="36"/>
      <c r="D17" s="36"/>
      <c r="E17" s="36"/>
      <c r="F17" s="36"/>
      <c r="G17" s="36"/>
      <c r="H17" s="36"/>
      <c r="I17" s="36"/>
      <c r="J17" s="36"/>
      <c r="K17" s="36"/>
      <c r="L17" s="36"/>
      <c r="M17" s="35"/>
      <c r="O17" s="37">
        <v>17</v>
      </c>
      <c r="P17" s="42">
        <f t="shared" si="1"/>
        <v>1511</v>
      </c>
      <c r="Q17" s="37">
        <v>17</v>
      </c>
    </row>
    <row r="18" spans="2:17" s="33" customFormat="1" ht="21" customHeight="1" x14ac:dyDescent="0.25">
      <c r="B18" s="36"/>
      <c r="C18" s="36"/>
      <c r="D18" s="36"/>
      <c r="E18" s="36"/>
      <c r="F18" s="36"/>
      <c r="G18" s="36"/>
      <c r="H18" s="36"/>
      <c r="I18" s="36"/>
      <c r="J18" s="36"/>
      <c r="K18" s="36"/>
      <c r="L18" s="36"/>
      <c r="M18" s="35"/>
      <c r="O18" s="37">
        <v>18</v>
      </c>
      <c r="P18" s="42">
        <f t="shared" si="1"/>
        <v>1596</v>
      </c>
      <c r="Q18" s="37">
        <v>18</v>
      </c>
    </row>
    <row r="19" spans="2:17" s="33" customFormat="1" ht="21" customHeight="1" x14ac:dyDescent="0.25">
      <c r="B19" s="36"/>
      <c r="C19" s="36"/>
      <c r="D19" s="36"/>
      <c r="E19" s="36"/>
      <c r="F19" s="36"/>
      <c r="G19" s="36"/>
      <c r="H19" s="36"/>
      <c r="I19" s="36"/>
      <c r="J19" s="36"/>
      <c r="K19" s="36"/>
      <c r="L19" s="36"/>
      <c r="M19" s="35"/>
      <c r="O19" s="37">
        <v>19</v>
      </c>
      <c r="P19" s="42">
        <f t="shared" si="1"/>
        <v>1681</v>
      </c>
      <c r="Q19" s="37">
        <v>19</v>
      </c>
    </row>
    <row r="20" spans="2:17" s="33" customFormat="1" ht="21" customHeight="1" x14ac:dyDescent="0.25">
      <c r="B20" s="36"/>
      <c r="C20" s="36"/>
      <c r="D20" s="36"/>
      <c r="E20" s="36"/>
      <c r="F20" s="36"/>
      <c r="G20" s="36"/>
      <c r="H20" s="36"/>
      <c r="I20" s="36"/>
      <c r="J20" s="36"/>
      <c r="K20" s="36"/>
      <c r="L20" s="36"/>
      <c r="M20" s="35"/>
      <c r="O20" s="37">
        <v>20</v>
      </c>
      <c r="P20" s="42">
        <f t="shared" si="1"/>
        <v>1766</v>
      </c>
      <c r="Q20" s="37">
        <v>20</v>
      </c>
    </row>
    <row r="21" spans="2:17" s="33" customFormat="1" ht="21" customHeight="1" x14ac:dyDescent="0.25">
      <c r="B21" s="36"/>
      <c r="C21" s="36"/>
      <c r="D21" s="36"/>
      <c r="E21" s="36"/>
      <c r="F21" s="36"/>
      <c r="G21" s="36"/>
      <c r="H21" s="36"/>
      <c r="I21" s="36"/>
      <c r="J21" s="36"/>
      <c r="K21" s="36"/>
      <c r="L21" s="36"/>
      <c r="M21" s="35"/>
      <c r="O21" s="37">
        <v>21</v>
      </c>
      <c r="P21" s="42">
        <f t="shared" si="1"/>
        <v>1851</v>
      </c>
      <c r="Q21" s="37">
        <v>21</v>
      </c>
    </row>
    <row r="22" spans="2:17" s="33" customFormat="1" ht="21" customHeight="1" x14ac:dyDescent="0.25">
      <c r="B22" s="36"/>
      <c r="C22" s="36"/>
      <c r="D22" s="36"/>
      <c r="E22" s="36"/>
      <c r="F22" s="36"/>
      <c r="G22" s="36"/>
      <c r="H22" s="36"/>
      <c r="I22" s="36"/>
      <c r="J22" s="36"/>
      <c r="K22" s="36"/>
      <c r="L22" s="36"/>
      <c r="M22" s="35"/>
      <c r="O22" s="37">
        <v>22</v>
      </c>
      <c r="P22" s="42">
        <f t="shared" si="1"/>
        <v>1936</v>
      </c>
      <c r="Q22" s="37">
        <v>22</v>
      </c>
    </row>
    <row r="23" spans="2:17" s="33" customFormat="1" ht="21" customHeight="1" x14ac:dyDescent="0.25">
      <c r="B23" s="36"/>
      <c r="C23" s="36"/>
      <c r="D23" s="36"/>
      <c r="E23" s="36"/>
      <c r="F23" s="36"/>
      <c r="G23" s="36"/>
      <c r="H23" s="36"/>
      <c r="I23" s="36"/>
      <c r="J23" s="36"/>
      <c r="K23" s="36"/>
      <c r="L23" s="36"/>
      <c r="M23" s="35"/>
      <c r="O23" s="37">
        <v>23</v>
      </c>
      <c r="P23" s="42">
        <f t="shared" si="1"/>
        <v>2021</v>
      </c>
      <c r="Q23" s="37">
        <v>23</v>
      </c>
    </row>
    <row r="24" spans="2:17" s="33" customFormat="1" ht="21" customHeight="1" x14ac:dyDescent="0.25">
      <c r="B24" s="36"/>
      <c r="C24" s="36"/>
      <c r="D24" s="36"/>
      <c r="E24" s="36"/>
      <c r="F24" s="36"/>
      <c r="G24" s="36"/>
      <c r="H24" s="36"/>
      <c r="I24" s="36"/>
      <c r="J24" s="36"/>
      <c r="K24" s="36"/>
      <c r="L24" s="36"/>
      <c r="M24" s="35"/>
      <c r="O24" s="37">
        <v>24</v>
      </c>
      <c r="P24" s="42">
        <f t="shared" si="1"/>
        <v>2106</v>
      </c>
      <c r="Q24" s="37">
        <v>24</v>
      </c>
    </row>
    <row r="25" spans="2:17" s="33" customFormat="1" ht="21" customHeight="1" x14ac:dyDescent="0.25">
      <c r="B25" s="36"/>
      <c r="C25" s="36"/>
      <c r="D25" s="36"/>
      <c r="E25" s="36"/>
      <c r="F25" s="36"/>
      <c r="G25" s="36"/>
      <c r="H25" s="36"/>
      <c r="I25" s="36"/>
      <c r="J25" s="36"/>
      <c r="K25" s="36"/>
      <c r="L25" s="36"/>
      <c r="M25" s="35"/>
      <c r="O25" s="37">
        <v>25</v>
      </c>
      <c r="P25" s="42">
        <f t="shared" si="1"/>
        <v>2191</v>
      </c>
      <c r="Q25" s="37">
        <v>25</v>
      </c>
    </row>
    <row r="26" spans="2:17" s="33" customFormat="1" ht="21" customHeight="1" x14ac:dyDescent="0.25">
      <c r="B26" s="36"/>
      <c r="C26" s="36"/>
      <c r="D26" s="36"/>
      <c r="E26" s="36"/>
      <c r="F26" s="36"/>
      <c r="G26" s="36"/>
      <c r="H26" s="36"/>
      <c r="I26" s="36"/>
      <c r="J26" s="36"/>
      <c r="K26" s="36"/>
      <c r="L26" s="36"/>
      <c r="M26" s="35"/>
      <c r="O26" s="37">
        <v>26</v>
      </c>
      <c r="P26" s="42">
        <f t="shared" si="1"/>
        <v>2276</v>
      </c>
      <c r="Q26" s="37">
        <v>26</v>
      </c>
    </row>
    <row r="27" spans="2:17" s="33" customFormat="1" ht="21" customHeight="1" x14ac:dyDescent="0.25">
      <c r="B27" s="41"/>
      <c r="C27" s="41"/>
      <c r="D27" s="41"/>
      <c r="E27" s="41"/>
      <c r="F27" s="41"/>
      <c r="G27" s="41"/>
      <c r="H27" s="41"/>
      <c r="I27" s="41"/>
      <c r="J27" s="41"/>
      <c r="K27" s="41"/>
      <c r="L27" s="41"/>
      <c r="M27" s="40"/>
      <c r="N27" s="40"/>
      <c r="O27" s="37">
        <v>27</v>
      </c>
      <c r="P27" s="42">
        <f t="shared" si="1"/>
        <v>2361</v>
      </c>
      <c r="Q27" s="37">
        <v>27</v>
      </c>
    </row>
    <row r="28" spans="2:17" s="33" customFormat="1" ht="21" customHeight="1" x14ac:dyDescent="0.25">
      <c r="B28" s="43"/>
      <c r="C28" s="43"/>
      <c r="D28" s="43"/>
      <c r="E28" s="43"/>
      <c r="F28" s="43"/>
      <c r="G28" s="43"/>
      <c r="H28" s="43"/>
      <c r="I28" s="43"/>
      <c r="J28" s="43"/>
      <c r="K28" s="43"/>
      <c r="L28" s="43"/>
      <c r="M28" s="40"/>
      <c r="N28" s="40"/>
      <c r="O28" s="37">
        <v>28</v>
      </c>
      <c r="P28" s="42">
        <f t="shared" si="1"/>
        <v>2446</v>
      </c>
      <c r="Q28" s="37">
        <v>28</v>
      </c>
    </row>
    <row r="29" spans="2:17" s="33" customFormat="1" ht="21" customHeight="1" x14ac:dyDescent="0.25">
      <c r="B29" s="43"/>
      <c r="C29" s="43"/>
      <c r="D29" s="43"/>
      <c r="E29" s="43"/>
      <c r="F29" s="43"/>
      <c r="G29" s="43"/>
      <c r="H29" s="43"/>
      <c r="I29" s="43"/>
      <c r="J29" s="43"/>
      <c r="K29" s="43"/>
      <c r="L29" s="43"/>
      <c r="M29" s="40"/>
      <c r="N29" s="40"/>
      <c r="O29" s="37">
        <v>29</v>
      </c>
      <c r="P29" s="42">
        <f t="shared" si="1"/>
        <v>2531</v>
      </c>
      <c r="Q29" s="37">
        <v>29</v>
      </c>
    </row>
    <row r="30" spans="2:17" s="33" customFormat="1" ht="21" customHeight="1" x14ac:dyDescent="0.25">
      <c r="B30" s="41"/>
      <c r="C30" s="41"/>
      <c r="D30" s="41"/>
      <c r="E30" s="41"/>
      <c r="F30" s="41"/>
      <c r="G30" s="41"/>
      <c r="H30" s="41"/>
      <c r="I30" s="41"/>
      <c r="J30" s="41"/>
      <c r="K30" s="41"/>
      <c r="L30" s="41"/>
      <c r="M30" s="40"/>
      <c r="N30" s="40"/>
      <c r="O30" s="37">
        <v>30</v>
      </c>
      <c r="P30" s="42">
        <f t="shared" si="1"/>
        <v>2616</v>
      </c>
      <c r="Q30" s="37">
        <v>30</v>
      </c>
    </row>
    <row r="31" spans="2:17" s="33" customFormat="1" ht="21" customHeight="1" x14ac:dyDescent="0.25">
      <c r="B31" s="41"/>
      <c r="C31" s="41"/>
      <c r="D31" s="41"/>
      <c r="E31" s="41"/>
      <c r="F31" s="41"/>
      <c r="G31" s="41"/>
      <c r="H31" s="41"/>
      <c r="I31" s="41"/>
      <c r="J31" s="41"/>
      <c r="K31" s="41"/>
      <c r="L31" s="41"/>
      <c r="M31" s="40"/>
      <c r="N31" s="40"/>
      <c r="O31" s="37">
        <v>31</v>
      </c>
      <c r="P31" s="42">
        <f t="shared" si="1"/>
        <v>2701</v>
      </c>
      <c r="Q31" s="37">
        <v>31</v>
      </c>
    </row>
    <row r="32" spans="2:17" s="33" customFormat="1" ht="21" customHeight="1" x14ac:dyDescent="0.25">
      <c r="B32" s="41"/>
      <c r="C32" s="41"/>
      <c r="D32" s="41"/>
      <c r="E32" s="41"/>
      <c r="F32" s="41"/>
      <c r="G32" s="41"/>
      <c r="H32" s="41"/>
      <c r="I32" s="41"/>
      <c r="J32" s="41"/>
      <c r="K32" s="41"/>
      <c r="L32" s="41"/>
      <c r="M32" s="40"/>
      <c r="N32" s="40"/>
      <c r="O32" s="39"/>
      <c r="P32" s="38"/>
      <c r="Q32" s="37"/>
    </row>
    <row r="33" spans="2:17" s="33" customFormat="1" ht="21" customHeight="1" x14ac:dyDescent="0.25">
      <c r="B33" s="41"/>
      <c r="C33" s="41"/>
      <c r="D33" s="41"/>
      <c r="E33" s="41"/>
      <c r="F33" s="41"/>
      <c r="G33" s="41"/>
      <c r="H33" s="41"/>
      <c r="I33" s="41"/>
      <c r="J33" s="41"/>
      <c r="K33" s="41"/>
      <c r="L33" s="41"/>
      <c r="M33" s="40"/>
      <c r="N33" s="40"/>
      <c r="O33" s="39"/>
      <c r="P33" s="38"/>
      <c r="Q33" s="37"/>
    </row>
    <row r="34" spans="2:17" s="33" customFormat="1" ht="21" customHeight="1" x14ac:dyDescent="0.25">
      <c r="B34" s="41"/>
      <c r="C34" s="41"/>
      <c r="D34" s="41"/>
      <c r="E34" s="41"/>
      <c r="F34" s="41"/>
      <c r="G34" s="41"/>
      <c r="H34" s="41"/>
      <c r="I34" s="41"/>
      <c r="J34" s="41"/>
      <c r="K34" s="41"/>
      <c r="L34" s="41"/>
      <c r="M34" s="40"/>
      <c r="N34" s="40"/>
      <c r="O34" s="39"/>
      <c r="P34" s="38"/>
      <c r="Q34" s="37"/>
    </row>
    <row r="35" spans="2:17" s="33" customFormat="1" ht="21" customHeight="1" x14ac:dyDescent="0.25">
      <c r="B35" s="36"/>
      <c r="C35" s="36"/>
      <c r="D35" s="36"/>
      <c r="E35" s="36"/>
      <c r="F35" s="36"/>
      <c r="G35" s="36"/>
      <c r="H35" s="36"/>
      <c r="I35" s="36"/>
      <c r="J35" s="36"/>
      <c r="K35" s="36"/>
      <c r="L35" s="36"/>
      <c r="M35" s="35"/>
      <c r="O35" s="39"/>
      <c r="P35" s="38"/>
      <c r="Q35" s="37"/>
    </row>
    <row r="36" spans="2:17" s="33" customFormat="1" ht="21" customHeight="1" x14ac:dyDescent="0.25">
      <c r="B36" s="36"/>
      <c r="C36" s="36"/>
      <c r="D36" s="36"/>
      <c r="E36" s="36"/>
      <c r="F36" s="36"/>
      <c r="G36" s="36"/>
      <c r="H36" s="36"/>
      <c r="I36" s="36"/>
      <c r="J36" s="36"/>
      <c r="K36" s="36"/>
      <c r="L36" s="36"/>
      <c r="M36" s="35"/>
      <c r="O36" s="39"/>
      <c r="P36" s="38"/>
      <c r="Q36" s="37"/>
    </row>
    <row r="37" spans="2:17" s="33" customFormat="1" ht="21" customHeight="1" x14ac:dyDescent="0.25">
      <c r="B37" s="36"/>
      <c r="C37" s="36"/>
      <c r="D37" s="36"/>
      <c r="E37" s="36"/>
      <c r="F37" s="36"/>
      <c r="G37" s="36"/>
      <c r="H37" s="36"/>
      <c r="I37" s="36"/>
      <c r="J37" s="36"/>
      <c r="K37" s="36"/>
      <c r="L37" s="36"/>
      <c r="M37" s="35"/>
      <c r="O37" s="39"/>
      <c r="P37" s="38"/>
      <c r="Q37" s="37"/>
    </row>
    <row r="38" spans="2:17" s="33" customFormat="1" ht="21" customHeight="1" x14ac:dyDescent="0.25">
      <c r="B38" s="36"/>
      <c r="C38" s="36"/>
      <c r="D38" s="36"/>
      <c r="E38" s="36"/>
      <c r="F38" s="36"/>
      <c r="G38" s="36"/>
      <c r="H38" s="36"/>
      <c r="I38" s="36"/>
      <c r="J38" s="36"/>
      <c r="K38" s="36"/>
      <c r="L38" s="36"/>
      <c r="M38" s="35"/>
      <c r="O38" s="39"/>
      <c r="P38" s="38"/>
      <c r="Q38" s="37"/>
    </row>
    <row r="39" spans="2:17" s="33" customFormat="1" ht="21" customHeight="1" x14ac:dyDescent="0.25">
      <c r="B39" s="36"/>
      <c r="C39" s="36"/>
      <c r="D39" s="36"/>
      <c r="E39" s="36"/>
      <c r="F39" s="36"/>
      <c r="G39" s="36"/>
      <c r="H39" s="36"/>
      <c r="I39" s="36"/>
      <c r="J39" s="36"/>
      <c r="K39" s="36"/>
      <c r="L39" s="36"/>
      <c r="M39" s="35"/>
      <c r="O39" s="39"/>
      <c r="P39" s="38"/>
      <c r="Q39" s="37"/>
    </row>
    <row r="40" spans="2:17" s="33" customFormat="1" ht="21" customHeight="1" x14ac:dyDescent="0.25">
      <c r="B40" s="36"/>
      <c r="C40" s="36"/>
      <c r="D40" s="36"/>
      <c r="E40" s="36"/>
      <c r="F40" s="36"/>
      <c r="G40" s="36"/>
      <c r="H40" s="36"/>
      <c r="I40" s="36"/>
      <c r="J40" s="36"/>
      <c r="K40" s="36"/>
      <c r="L40" s="36"/>
      <c r="M40" s="35"/>
      <c r="O40" s="39"/>
      <c r="P40" s="38"/>
      <c r="Q40" s="37"/>
    </row>
    <row r="41" spans="2:17" s="33" customFormat="1" ht="21" customHeight="1" x14ac:dyDescent="0.25">
      <c r="B41" s="36"/>
      <c r="C41" s="36"/>
      <c r="D41" s="36"/>
      <c r="E41" s="36"/>
      <c r="F41" s="36"/>
      <c r="G41" s="36"/>
      <c r="H41" s="36"/>
      <c r="I41" s="36"/>
      <c r="J41" s="36"/>
      <c r="K41" s="36"/>
      <c r="L41" s="36"/>
      <c r="M41" s="35"/>
      <c r="O41" s="39"/>
      <c r="P41" s="38"/>
      <c r="Q41" s="37"/>
    </row>
    <row r="42" spans="2:17" s="33" customFormat="1" ht="21" customHeight="1" x14ac:dyDescent="0.25">
      <c r="B42" s="36"/>
      <c r="C42" s="36"/>
      <c r="D42" s="36"/>
      <c r="E42" s="36"/>
      <c r="F42" s="36"/>
      <c r="G42" s="36"/>
      <c r="H42" s="36"/>
      <c r="I42" s="36"/>
      <c r="J42" s="36"/>
      <c r="K42" s="36"/>
      <c r="L42" s="36"/>
      <c r="M42" s="35"/>
      <c r="O42" s="39"/>
      <c r="P42" s="38"/>
      <c r="Q42" s="37"/>
    </row>
    <row r="43" spans="2:17" s="33" customFormat="1" ht="21" customHeight="1" x14ac:dyDescent="0.25">
      <c r="B43" s="36"/>
      <c r="C43" s="36"/>
      <c r="D43" s="36"/>
      <c r="E43" s="36"/>
      <c r="F43" s="36"/>
      <c r="G43" s="36"/>
      <c r="H43" s="36"/>
      <c r="I43" s="36"/>
      <c r="J43" s="36"/>
      <c r="K43" s="36"/>
      <c r="L43" s="36"/>
      <c r="M43" s="35"/>
      <c r="O43" s="39"/>
      <c r="P43" s="38"/>
      <c r="Q43" s="37"/>
    </row>
    <row r="44" spans="2:17" s="33" customFormat="1" ht="21" customHeight="1" x14ac:dyDescent="0.25">
      <c r="B44" s="36"/>
      <c r="C44" s="36"/>
      <c r="D44" s="36"/>
      <c r="E44" s="36"/>
      <c r="F44" s="36"/>
      <c r="G44" s="36"/>
      <c r="H44" s="36"/>
      <c r="I44" s="36"/>
      <c r="J44" s="36"/>
      <c r="K44" s="36"/>
      <c r="L44" s="36"/>
      <c r="M44" s="35"/>
      <c r="O44" s="39"/>
      <c r="P44" s="38"/>
      <c r="Q44" s="37"/>
    </row>
    <row r="45" spans="2:17" s="33" customFormat="1" ht="21" customHeight="1" x14ac:dyDescent="0.25">
      <c r="B45" s="36"/>
      <c r="C45" s="36"/>
      <c r="D45" s="36"/>
      <c r="E45" s="36"/>
      <c r="F45" s="36"/>
      <c r="G45" s="36"/>
      <c r="H45" s="36"/>
      <c r="I45" s="36"/>
      <c r="J45" s="36"/>
      <c r="K45" s="36"/>
      <c r="L45" s="36"/>
      <c r="M45" s="35"/>
      <c r="O45" s="39"/>
      <c r="P45" s="38"/>
      <c r="Q45" s="37"/>
    </row>
    <row r="46" spans="2:17" s="33" customFormat="1" ht="21" customHeight="1" x14ac:dyDescent="0.25">
      <c r="B46" s="36"/>
      <c r="C46" s="36"/>
      <c r="D46" s="36"/>
      <c r="E46" s="36"/>
      <c r="F46" s="36"/>
      <c r="G46" s="36"/>
      <c r="H46" s="36"/>
      <c r="I46" s="36"/>
      <c r="J46" s="36"/>
      <c r="K46" s="36"/>
      <c r="L46" s="36"/>
      <c r="M46" s="35"/>
      <c r="O46" s="39"/>
      <c r="P46" s="38"/>
      <c r="Q46" s="37"/>
    </row>
    <row r="47" spans="2:17" s="33" customFormat="1" ht="21" customHeight="1" x14ac:dyDescent="0.25">
      <c r="B47" s="36"/>
      <c r="C47" s="36"/>
      <c r="D47" s="36"/>
      <c r="E47" s="36"/>
      <c r="F47" s="36"/>
      <c r="G47" s="36"/>
      <c r="H47" s="36"/>
      <c r="I47" s="36"/>
      <c r="J47" s="36"/>
      <c r="K47" s="36"/>
      <c r="L47" s="36"/>
      <c r="M47" s="35"/>
      <c r="O47" s="39"/>
      <c r="P47" s="38"/>
      <c r="Q47" s="37"/>
    </row>
    <row r="48" spans="2:17" s="33" customFormat="1" ht="21" customHeight="1" x14ac:dyDescent="0.25">
      <c r="B48" s="36"/>
      <c r="C48" s="36"/>
      <c r="D48" s="36"/>
      <c r="E48" s="36"/>
      <c r="F48" s="36"/>
      <c r="G48" s="36"/>
      <c r="H48" s="36"/>
      <c r="I48" s="36"/>
      <c r="J48" s="36"/>
      <c r="K48" s="36"/>
      <c r="L48" s="36"/>
      <c r="M48" s="35"/>
      <c r="O48" s="39"/>
      <c r="P48" s="38"/>
      <c r="Q48" s="37"/>
    </row>
    <row r="49" spans="15:17" s="33" customFormat="1" ht="21" customHeight="1" x14ac:dyDescent="0.25">
      <c r="O49" s="39"/>
      <c r="P49" s="38"/>
      <c r="Q49" s="37"/>
    </row>
    <row r="50" spans="15:17" s="33" customFormat="1" ht="21" customHeight="1" x14ac:dyDescent="0.25">
      <c r="O50" s="39"/>
      <c r="P50" s="38"/>
      <c r="Q50" s="37"/>
    </row>
    <row r="51" spans="15:17" s="33" customFormat="1" ht="21" customHeight="1" x14ac:dyDescent="0.25">
      <c r="O51" s="39"/>
      <c r="P51" s="38"/>
      <c r="Q51" s="37"/>
    </row>
    <row r="52" spans="15:17" s="33" customFormat="1" ht="21" customHeight="1" x14ac:dyDescent="0.25">
      <c r="O52" s="39"/>
      <c r="P52" s="38"/>
      <c r="Q52" s="37"/>
    </row>
    <row r="53" spans="15:17" s="33" customFormat="1" ht="21" customHeight="1" x14ac:dyDescent="0.25">
      <c r="O53" s="39"/>
      <c r="P53" s="38"/>
      <c r="Q53" s="37"/>
    </row>
    <row r="54" spans="15:17" s="33" customFormat="1" ht="21" customHeight="1" x14ac:dyDescent="0.25">
      <c r="O54" s="39"/>
      <c r="P54" s="38"/>
      <c r="Q54" s="37"/>
    </row>
    <row r="55" spans="15:17" s="33" customFormat="1" ht="21" customHeight="1" x14ac:dyDescent="0.25">
      <c r="O55" s="39"/>
      <c r="P55" s="38"/>
      <c r="Q55" s="37"/>
    </row>
    <row r="56" spans="15:17" s="33" customFormat="1" ht="21" customHeight="1" x14ac:dyDescent="0.25">
      <c r="O56" s="39"/>
      <c r="P56" s="38"/>
      <c r="Q56" s="37"/>
    </row>
    <row r="57" spans="15:17" s="33" customFormat="1" ht="21" customHeight="1" x14ac:dyDescent="0.25">
      <c r="O57" s="39"/>
      <c r="P57" s="38"/>
      <c r="Q57" s="37"/>
    </row>
    <row r="58" spans="15:17" s="33" customFormat="1" ht="21" customHeight="1" x14ac:dyDescent="0.25">
      <c r="O58" s="39"/>
      <c r="P58" s="38"/>
      <c r="Q58" s="37"/>
    </row>
    <row r="59" spans="15:17" s="33" customFormat="1" ht="21" customHeight="1" x14ac:dyDescent="0.25">
      <c r="O59" s="39"/>
      <c r="P59" s="38"/>
      <c r="Q59" s="37"/>
    </row>
    <row r="60" spans="15:17" s="33" customFormat="1" ht="21" customHeight="1" x14ac:dyDescent="0.25">
      <c r="O60" s="39"/>
      <c r="P60" s="38"/>
      <c r="Q60" s="37"/>
    </row>
    <row r="61" spans="15:17" s="33" customFormat="1" ht="21" customHeight="1" x14ac:dyDescent="0.25">
      <c r="O61" s="39"/>
      <c r="P61" s="38"/>
      <c r="Q61" s="37"/>
    </row>
    <row r="62" spans="15:17" s="33" customFormat="1" ht="21" customHeight="1" x14ac:dyDescent="0.25">
      <c r="O62" s="39"/>
      <c r="P62" s="38"/>
      <c r="Q62" s="37"/>
    </row>
    <row r="63" spans="15:17" s="33" customFormat="1" ht="21" customHeight="1" x14ac:dyDescent="0.25">
      <c r="O63" s="39"/>
      <c r="P63" s="38"/>
      <c r="Q63" s="37"/>
    </row>
    <row r="64" spans="15:17" s="33" customFormat="1" ht="21" customHeight="1" x14ac:dyDescent="0.25">
      <c r="O64" s="39"/>
      <c r="P64" s="38"/>
      <c r="Q64" s="37"/>
    </row>
    <row r="65" s="33" customFormat="1" ht="21" customHeight="1" x14ac:dyDescent="0.25"/>
    <row r="66" s="33" customFormat="1" ht="21" customHeight="1" x14ac:dyDescent="0.25"/>
  </sheetData>
  <mergeCells count="1">
    <mergeCell ref="S2:T2"/>
  </mergeCells>
  <conditionalFormatting sqref="AC11">
    <cfRule type="containsText" dxfId="1" priority="1" operator="containsText" text="ERROR">
      <formula>NOT(ISERROR(SEARCH("ERROR",AC11)))</formula>
    </cfRule>
    <cfRule type="containsText" dxfId="0" priority="2" operator="containsText" text="OK">
      <formula>NOT(ISERROR(SEARCH("OK",AC11)))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108</vt:i4>
      </vt:variant>
    </vt:vector>
  </HeadingPairs>
  <TitlesOfParts>
    <vt:vector size="115" baseType="lpstr">
      <vt:lpstr>Stores &amp; Delivery Addresses </vt:lpstr>
      <vt:lpstr>Summary</vt:lpstr>
      <vt:lpstr>Eco Aluminium External Shutters</vt:lpstr>
      <vt:lpstr>Aluminium Screen</vt:lpstr>
      <vt:lpstr>Data</vt:lpstr>
      <vt:lpstr>Privacy Screen Data</vt:lpstr>
      <vt:lpstr>Calculation Sheet</vt:lpstr>
      <vt:lpstr>_63mm114mmProductInMS</vt:lpstr>
      <vt:lpstr>_63mm114mmProductOut</vt:lpstr>
      <vt:lpstr>AlumimiumExternalLiteColour</vt:lpstr>
      <vt:lpstr>AluminiumBiFoldLayoutCodes</vt:lpstr>
      <vt:lpstr>AluminiumColours</vt:lpstr>
      <vt:lpstr>AluminiumDoubleHingedLayoutCodes</vt:lpstr>
      <vt:lpstr>AluminiumExtraHardwares</vt:lpstr>
      <vt:lpstr>AluminiumExtras</vt:lpstr>
      <vt:lpstr>AluminiumExtrasLimitedColours</vt:lpstr>
      <vt:lpstr>AluminiumFixedLayoutCodes</vt:lpstr>
      <vt:lpstr>AluminiumHingedLayoutCodes</vt:lpstr>
      <vt:lpstr>AluminiumNALayoutCodes</vt:lpstr>
      <vt:lpstr>AluminiumPivotHingedLayoutCodes</vt:lpstr>
      <vt:lpstr>AluminiumProductAll</vt:lpstr>
      <vt:lpstr>AluminiumProductInOut</vt:lpstr>
      <vt:lpstr>AluminiumScreenExtraColourExtraEAngle140mm40mm</vt:lpstr>
      <vt:lpstr>AluminiumScreenExtraColourExtraFAngle240mmx20mm</vt:lpstr>
      <vt:lpstr>AluminiumScreenExtraColourExtraGAngle325mmx20mm</vt:lpstr>
      <vt:lpstr>AluminiumScreenExtraColourExtraHAngle420mmx12mm</vt:lpstr>
      <vt:lpstr>AluminiumScreenExtraColourHFrame65mmx533mm</vt:lpstr>
      <vt:lpstr>AluminiumScreenExtraColourMountingBracket</vt:lpstr>
      <vt:lpstr>AluminiumScreenExtraColourStainlessSteelHinge</vt:lpstr>
      <vt:lpstr>AluminiumScreenExtraColourUChannel536mmx30mm</vt:lpstr>
      <vt:lpstr>AluminiumSlidingLayoutCodes</vt:lpstr>
      <vt:lpstr>AluminiumSpecialComments</vt:lpstr>
      <vt:lpstr>BiFoldFrames</vt:lpstr>
      <vt:lpstr>BiFoldFramesLeftRight</vt:lpstr>
      <vt:lpstr>Colour</vt:lpstr>
      <vt:lpstr>Delivery_Address</vt:lpstr>
      <vt:lpstr>EcoExternalAluminiumColour</vt:lpstr>
      <vt:lpstr>EcoExternalAluminiumColourAll</vt:lpstr>
      <vt:lpstr>ExternalMoutingMethodIN</vt:lpstr>
      <vt:lpstr>ExternalMoutingMethodMS</vt:lpstr>
      <vt:lpstr>ExternalMoutingMethodOUT</vt:lpstr>
      <vt:lpstr>ExternalShapedMountingMethodIn</vt:lpstr>
      <vt:lpstr>ExternalShapedMountingMethodOut</vt:lpstr>
      <vt:lpstr>ExternalWindowType</vt:lpstr>
      <vt:lpstr>FixedFrames</vt:lpstr>
      <vt:lpstr>FlushBoltBiFoldSlinding</vt:lpstr>
      <vt:lpstr>FlushBoltHinged</vt:lpstr>
      <vt:lpstr>FlushBoltLocationNA</vt:lpstr>
      <vt:lpstr>FlushBoltNA</vt:lpstr>
      <vt:lpstr>FlushBoltYes</vt:lpstr>
      <vt:lpstr>FrameBiFold</vt:lpstr>
      <vt:lpstr>FrameFixed</vt:lpstr>
      <vt:lpstr>FrameHinged</vt:lpstr>
      <vt:lpstr>'Eco Aluminium External Shutters'!FrameNA</vt:lpstr>
      <vt:lpstr>FrameNA</vt:lpstr>
      <vt:lpstr>FrameSliding</vt:lpstr>
      <vt:lpstr>FZFrameLeftRight</vt:lpstr>
      <vt:lpstr>Hardware</vt:lpstr>
      <vt:lpstr>HingeColourBiFold</vt:lpstr>
      <vt:lpstr>HingeColourFixed</vt:lpstr>
      <vt:lpstr>HingeColourHinged</vt:lpstr>
      <vt:lpstr>HingeColourIN</vt:lpstr>
      <vt:lpstr>HingeColourMS</vt:lpstr>
      <vt:lpstr>HingeColourNA</vt:lpstr>
      <vt:lpstr>HingeColourNo</vt:lpstr>
      <vt:lpstr>HingeColourOUT</vt:lpstr>
      <vt:lpstr>HingeColourSliding</vt:lpstr>
      <vt:lpstr>HingeColourYes</vt:lpstr>
      <vt:lpstr>HingedDoubleHingedFrames</vt:lpstr>
      <vt:lpstr>IN</vt:lpstr>
      <vt:lpstr>IN_1</vt:lpstr>
      <vt:lpstr>IN_2</vt:lpstr>
      <vt:lpstr>IN_3</vt:lpstr>
      <vt:lpstr>Item</vt:lpstr>
      <vt:lpstr>KeyLock</vt:lpstr>
      <vt:lpstr>Line_Item_Number</vt:lpstr>
      <vt:lpstr>LockBiFold</vt:lpstr>
      <vt:lpstr>LockFixed</vt:lpstr>
      <vt:lpstr>LockHinged</vt:lpstr>
      <vt:lpstr>LockNA</vt:lpstr>
      <vt:lpstr>LockSliding</vt:lpstr>
      <vt:lpstr>LourveLock</vt:lpstr>
      <vt:lpstr>MS</vt:lpstr>
      <vt:lpstr>MS_1</vt:lpstr>
      <vt:lpstr>MS_2</vt:lpstr>
      <vt:lpstr>MS_3</vt:lpstr>
      <vt:lpstr>NoShapes</vt:lpstr>
      <vt:lpstr>OUT</vt:lpstr>
      <vt:lpstr>OUT_1</vt:lpstr>
      <vt:lpstr>OUT_2</vt:lpstr>
      <vt:lpstr>OUT_3</vt:lpstr>
      <vt:lpstr>Pacific_Sales_Coordinator</vt:lpstr>
      <vt:lpstr>PanelOnly</vt:lpstr>
      <vt:lpstr>PivotHingedFrames</vt:lpstr>
      <vt:lpstr>'Aluminium Screen'!Print_Area</vt:lpstr>
      <vt:lpstr>'Eco Aluminium External Shutters'!Print_Area</vt:lpstr>
      <vt:lpstr>Quantity</vt:lpstr>
      <vt:lpstr>SecurityLock</vt:lpstr>
      <vt:lpstr>SecurityLockNA</vt:lpstr>
      <vt:lpstr>SecurityLockNo</vt:lpstr>
      <vt:lpstr>SecurityLockYes</vt:lpstr>
      <vt:lpstr>Shaped</vt:lpstr>
      <vt:lpstr>SlidingFrames</vt:lpstr>
      <vt:lpstr>SlidingFramesLeftRight</vt:lpstr>
      <vt:lpstr>SlidingTopFrame</vt:lpstr>
      <vt:lpstr>SliidingBottomFrame</vt:lpstr>
      <vt:lpstr>SpecialComments1</vt:lpstr>
      <vt:lpstr>SpecialComments2</vt:lpstr>
      <vt:lpstr>StainlessSteelHingeOnly</vt:lpstr>
      <vt:lpstr>Store_Name</vt:lpstr>
      <vt:lpstr>THPost</vt:lpstr>
      <vt:lpstr>TiltPrivacy</vt:lpstr>
      <vt:lpstr>TiltrodBoth</vt:lpstr>
      <vt:lpstr>TopBottomYes</vt:lpstr>
      <vt:lpstr>UChannelLeftRight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Pacific Wholesale Distributors</dc:creator>
  <cp:lastModifiedBy>Tony Sinke</cp:lastModifiedBy>
  <cp:lastPrinted>2026-04-10T02:18:25Z</cp:lastPrinted>
  <dcterms:created xsi:type="dcterms:W3CDTF">2019-02-06T04:53:51Z</dcterms:created>
  <dcterms:modified xsi:type="dcterms:W3CDTF">2026-04-15T20:06:28Z</dcterms:modified>
</cp:coreProperties>
</file>